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480" windowHeight="7590" tabRatio="900" activeTab="7"/>
  </bookViews>
  <sheets>
    <sheet name="Chart1" sheetId="19" r:id="rId1"/>
    <sheet name="Budget plan season10" sheetId="16" r:id="rId2"/>
    <sheet name="Cashbook " sheetId="5" r:id="rId3"/>
    <sheet name="Bank " sheetId="7" r:id="rId4"/>
    <sheet name="CashAdvance" sheetId="6" r:id="rId5"/>
    <sheet name="Monthly Expenses&amp;Incomes" sheetId="4" r:id="rId6"/>
    <sheet name="Chart2" sheetId="17" r:id="rId7"/>
    <sheet name="Final Statement" sheetId="3" r:id="rId8"/>
    <sheet name="Chart3" sheetId="18" r:id="rId9"/>
  </sheets>
  <externalReferences>
    <externalReference r:id="rId10"/>
  </externalReferences>
  <definedNames>
    <definedName name="_xlnm._FilterDatabase" localSheetId="3" hidden="1">'Bank '!$A$4:$H$31</definedName>
    <definedName name="_xlnm._FilterDatabase" localSheetId="4" hidden="1">CashAdvance!$B$4:$J$4</definedName>
    <definedName name="_xlnm._FilterDatabase" localSheetId="2" hidden="1">'Cashbook '!$A$4:$H$142</definedName>
    <definedName name="acckhrbanks">'[1]KhR bank saving'!$G$5:$G$700</definedName>
    <definedName name="accusbank">'[1]$US Bank '!$G$5:$G$700</definedName>
    <definedName name="ackhrbankfi">'[1]KhR bank fixed'!$G$5:$G$700</definedName>
    <definedName name="acpc">'[1]KhR Petty Cash'!$G$5:$G$700</definedName>
    <definedName name="acpcus">'[1]$US Petty Cash'!$G$5:$G$700</definedName>
    <definedName name="crkhrbankf">'[1]KhR bank fixed'!$D$5:$D$700</definedName>
    <definedName name="crkhrbanks">'[1]KhR bank saving'!$D$5:$D$700</definedName>
    <definedName name="crpc">'[1]KhR Petty Cash'!$D$5:$D$700</definedName>
    <definedName name="crpcus">'[1]$US Petty Cash'!$D$5:$D$700</definedName>
    <definedName name="crusbank">'[1]$US Bank '!$D$5:$D$700</definedName>
    <definedName name="datariels">'Monthly Expenses&amp;Incomes'!$D$8:$K$39</definedName>
    <definedName name="debusbank">'[1]$US Bank '!$E$5:$E$700</definedName>
    <definedName name="dekhrbankfi">'[1]KhR bank fixed'!$E$5:$E$700</definedName>
    <definedName name="dekhrbanks">'[1]KhR bank saving'!$E$5:$E$700</definedName>
    <definedName name="depc">'[1]KhR Petty Cash'!$E$5:$E$700</definedName>
    <definedName name="depcus">'[1]$US Petty Cash'!$E$5:$E$700</definedName>
    <definedName name="exc">'Final Statement'!$D$4</definedName>
    <definedName name="_xlnm.Print_Area" localSheetId="7">'Final Statement'!$A$1:$D$61</definedName>
    <definedName name="_xlnm.Print_Area" localSheetId="5">'Monthly Expenses&amp;Incomes'!$A$1:$L$42</definedName>
    <definedName name="_xlnm.Print_Titles" localSheetId="3">'Bank '!$1:$4</definedName>
    <definedName name="_xlnm.Print_Titles" localSheetId="4">CashAdvance!$1:$4</definedName>
    <definedName name="_xlnm.Print_Titles" localSheetId="2">'Cashbook '!$1:$4</definedName>
    <definedName name="_xlnm.Print_Titles" localSheetId="7">'Final Statement'!$2:$2</definedName>
  </definedNames>
  <calcPr calcId="124519"/>
</workbook>
</file>

<file path=xl/calcChain.xml><?xml version="1.0" encoding="utf-8"?>
<calcChain xmlns="http://schemas.openxmlformats.org/spreadsheetml/2006/main">
  <c r="C5" i="6"/>
  <c r="C6"/>
  <c r="C7"/>
  <c r="C8"/>
  <c r="H5"/>
  <c r="H6"/>
  <c r="H7"/>
  <c r="H8"/>
  <c r="H9"/>
  <c r="H10"/>
  <c r="H11"/>
  <c r="H12"/>
  <c r="H13"/>
  <c r="D9" i="4"/>
  <c r="E9"/>
  <c r="F9"/>
  <c r="G9"/>
  <c r="H9"/>
  <c r="I9"/>
  <c r="D10"/>
  <c r="E10"/>
  <c r="F10"/>
  <c r="G10"/>
  <c r="H10"/>
  <c r="I10"/>
  <c r="D11"/>
  <c r="E11"/>
  <c r="F11"/>
  <c r="G11"/>
  <c r="H11"/>
  <c r="I11"/>
  <c r="D13"/>
  <c r="E13"/>
  <c r="F13"/>
  <c r="G13"/>
  <c r="H13"/>
  <c r="I13"/>
  <c r="I51" i="16"/>
  <c r="D61" i="3"/>
  <c r="C60"/>
  <c r="C59"/>
  <c r="C58"/>
  <c r="C57"/>
  <c r="C12"/>
  <c r="C13"/>
  <c r="C14"/>
  <c r="C11"/>
  <c r="D15"/>
  <c r="L45" i="16"/>
  <c r="L44"/>
  <c r="L7"/>
  <c r="L8"/>
  <c r="L9"/>
  <c r="L6"/>
  <c r="L5" s="1"/>
  <c r="I69"/>
  <c r="G70"/>
  <c r="G71" s="1"/>
  <c r="I71" s="1"/>
  <c r="I44"/>
  <c r="I43"/>
  <c r="I42"/>
  <c r="J40"/>
  <c r="I14"/>
  <c r="K11" i="4" s="1"/>
  <c r="I53" i="16"/>
  <c r="I52"/>
  <c r="I49"/>
  <c r="I39"/>
  <c r="I38"/>
  <c r="I37"/>
  <c r="I36"/>
  <c r="I35"/>
  <c r="I33"/>
  <c r="I32"/>
  <c r="I31"/>
  <c r="I29"/>
  <c r="I28"/>
  <c r="I27"/>
  <c r="I25"/>
  <c r="I24"/>
  <c r="I23"/>
  <c r="I22"/>
  <c r="I21"/>
  <c r="I20"/>
  <c r="I19"/>
  <c r="J5"/>
  <c r="J10" i="4" l="1"/>
  <c r="J9"/>
  <c r="J13"/>
  <c r="J11"/>
  <c r="C56" i="3"/>
  <c r="I70" i="16"/>
  <c r="L54"/>
  <c r="C10" i="3"/>
  <c r="I54" i="16"/>
  <c r="J50" s="1"/>
  <c r="J68"/>
  <c r="I11" s="1"/>
  <c r="K8" i="4" s="1"/>
  <c r="J45" i="16"/>
  <c r="J30"/>
  <c r="J18"/>
  <c r="J26"/>
  <c r="J34"/>
  <c r="J10" l="1"/>
  <c r="J17"/>
  <c r="J67" s="1"/>
  <c r="J59" l="1"/>
  <c r="J72"/>
  <c r="J73" s="1"/>
  <c r="K18"/>
  <c r="K30"/>
  <c r="K34"/>
  <c r="K26"/>
  <c r="B6" i="5"/>
  <c r="K17" i="16" l="1"/>
  <c r="K7" i="4"/>
  <c r="K15"/>
  <c r="J11" i="7"/>
  <c r="B28" i="5"/>
  <c r="B27"/>
  <c r="B97"/>
  <c r="B98"/>
  <c r="B99"/>
  <c r="B100"/>
  <c r="B61"/>
  <c r="B51"/>
  <c r="B52"/>
  <c r="B71"/>
  <c r="B72"/>
  <c r="B12" i="7"/>
  <c r="B13"/>
  <c r="B14"/>
  <c r="B15"/>
  <c r="B16"/>
  <c r="B22"/>
  <c r="B23"/>
  <c r="B25"/>
  <c r="B24"/>
  <c r="B21"/>
  <c r="B18"/>
  <c r="B19"/>
  <c r="B20"/>
  <c r="B74" i="5"/>
  <c r="F140"/>
  <c r="B62"/>
  <c r="D60" i="3"/>
  <c r="D57"/>
  <c r="D58"/>
  <c r="D59"/>
  <c r="I39" i="4"/>
  <c r="I38"/>
  <c r="H39"/>
  <c r="H38"/>
  <c r="G39"/>
  <c r="G38"/>
  <c r="F39"/>
  <c r="F38"/>
  <c r="E39"/>
  <c r="E38"/>
  <c r="D39"/>
  <c r="J39" s="1"/>
  <c r="D38"/>
  <c r="J38" s="1"/>
  <c r="I40"/>
  <c r="H40"/>
  <c r="G40"/>
  <c r="F40"/>
  <c r="E40"/>
  <c r="D40"/>
  <c r="E16"/>
  <c r="B54" i="5"/>
  <c r="B53"/>
  <c r="B49"/>
  <c r="B48"/>
  <c r="B45"/>
  <c r="B50"/>
  <c r="B47"/>
  <c r="B46"/>
  <c r="B44"/>
  <c r="B35"/>
  <c r="B34"/>
  <c r="B22"/>
  <c r="B25"/>
  <c r="B21"/>
  <c r="B38"/>
  <c r="B31"/>
  <c r="B24"/>
  <c r="B23"/>
  <c r="B19"/>
  <c r="B42"/>
  <c r="B43"/>
  <c r="G33" i="4" s="1"/>
  <c r="B40" i="5"/>
  <c r="B41"/>
  <c r="B39"/>
  <c r="B37"/>
  <c r="B30"/>
  <c r="B33"/>
  <c r="B32"/>
  <c r="B29"/>
  <c r="B36"/>
  <c r="B26"/>
  <c r="B20"/>
  <c r="B18"/>
  <c r="B10"/>
  <c r="B17"/>
  <c r="B16"/>
  <c r="B14"/>
  <c r="B7"/>
  <c r="B11"/>
  <c r="B9"/>
  <c r="B15"/>
  <c r="B13"/>
  <c r="B12"/>
  <c r="B8"/>
  <c r="G5"/>
  <c r="B5"/>
  <c r="E140"/>
  <c r="F199" i="6"/>
  <c r="G199"/>
  <c r="D12" i="3"/>
  <c r="C9" i="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B55" i="5"/>
  <c r="B56"/>
  <c r="B57"/>
  <c r="B58"/>
  <c r="B59"/>
  <c r="B60"/>
  <c r="B64"/>
  <c r="B65"/>
  <c r="B66"/>
  <c r="B67"/>
  <c r="B68"/>
  <c r="B69"/>
  <c r="B70"/>
  <c r="B73"/>
  <c r="D30" i="4" s="1"/>
  <c r="B75" i="5"/>
  <c r="B63"/>
  <c r="B91"/>
  <c r="B77"/>
  <c r="B76"/>
  <c r="B78"/>
  <c r="B79"/>
  <c r="B80"/>
  <c r="B81"/>
  <c r="B82"/>
  <c r="B83"/>
  <c r="B84"/>
  <c r="D34" i="4" s="1"/>
  <c r="B85" i="5"/>
  <c r="B92"/>
  <c r="B86"/>
  <c r="B87"/>
  <c r="B88"/>
  <c r="B89"/>
  <c r="B90"/>
  <c r="B93"/>
  <c r="B94"/>
  <c r="B95"/>
  <c r="B96"/>
  <c r="B101"/>
  <c r="B102"/>
  <c r="B103"/>
  <c r="B104"/>
  <c r="B105"/>
  <c r="B106"/>
  <c r="B107"/>
  <c r="B108"/>
  <c r="B109"/>
  <c r="B110"/>
  <c r="B111"/>
  <c r="I18" i="4" s="1"/>
  <c r="B112" i="5"/>
  <c r="B113"/>
  <c r="B114"/>
  <c r="B115"/>
  <c r="F20" i="4" s="1"/>
  <c r="B116" i="5"/>
  <c r="B117"/>
  <c r="B118"/>
  <c r="B119"/>
  <c r="B120"/>
  <c r="B121"/>
  <c r="I28" i="4" s="1"/>
  <c r="B122" i="5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D31" i="7"/>
  <c r="B30"/>
  <c r="G30"/>
  <c r="B29"/>
  <c r="B28"/>
  <c r="B27"/>
  <c r="B26"/>
  <c r="G5"/>
  <c r="C8" i="3" s="1"/>
  <c r="H14" i="6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K31" i="4"/>
  <c r="K27"/>
  <c r="K23"/>
  <c r="E31" i="7"/>
  <c r="F31" s="1"/>
  <c r="E35" i="4"/>
  <c r="E26"/>
  <c r="H199" i="6"/>
  <c r="J199" s="1"/>
  <c r="F35" i="4"/>
  <c r="I37"/>
  <c r="I32"/>
  <c r="H36"/>
  <c r="D25"/>
  <c r="F28"/>
  <c r="I36"/>
  <c r="E32"/>
  <c r="D28"/>
  <c r="E12" l="1"/>
  <c r="G12"/>
  <c r="I12"/>
  <c r="D12"/>
  <c r="F12"/>
  <c r="H12"/>
  <c r="G20"/>
  <c r="E20"/>
  <c r="H20"/>
  <c r="E34"/>
  <c r="F26"/>
  <c r="D26"/>
  <c r="D18"/>
  <c r="D16"/>
  <c r="E18"/>
  <c r="F18"/>
  <c r="F16"/>
  <c r="G18"/>
  <c r="H16"/>
  <c r="H17"/>
  <c r="E24"/>
  <c r="F25"/>
  <c r="D17"/>
  <c r="E17"/>
  <c r="F17"/>
  <c r="G16"/>
  <c r="G17"/>
  <c r="H18"/>
  <c r="I16"/>
  <c r="I17"/>
  <c r="J17" s="1"/>
  <c r="C26" i="3" s="1"/>
  <c r="D26" s="1"/>
  <c r="D37" i="4"/>
  <c r="F34"/>
  <c r="G25"/>
  <c r="E28"/>
  <c r="I25"/>
  <c r="I30"/>
  <c r="H28"/>
  <c r="E33"/>
  <c r="G26"/>
  <c r="H26"/>
  <c r="I26"/>
  <c r="D22"/>
  <c r="C9" i="3"/>
  <c r="D9" s="1"/>
  <c r="G6" i="5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F33" i="4"/>
  <c r="D21"/>
  <c r="J18"/>
  <c r="E22"/>
  <c r="E19"/>
  <c r="F21"/>
  <c r="G22"/>
  <c r="G19"/>
  <c r="H22"/>
  <c r="H19"/>
  <c r="I22"/>
  <c r="I19"/>
  <c r="E8"/>
  <c r="G8"/>
  <c r="I8"/>
  <c r="D8"/>
  <c r="D7" s="1"/>
  <c r="F8"/>
  <c r="H8"/>
  <c r="I20"/>
  <c r="H35"/>
  <c r="G28"/>
  <c r="E25"/>
  <c r="D19"/>
  <c r="E21"/>
  <c r="F22"/>
  <c r="F19"/>
  <c r="G21"/>
  <c r="G15" s="1"/>
  <c r="H21"/>
  <c r="I21"/>
  <c r="I15" s="1"/>
  <c r="J40"/>
  <c r="L43" i="16" s="1"/>
  <c r="L53" s="1"/>
  <c r="J16" i="4"/>
  <c r="D24"/>
  <c r="D23" s="1"/>
  <c r="G24"/>
  <c r="G23" s="1"/>
  <c r="H24"/>
  <c r="H30"/>
  <c r="F24"/>
  <c r="F23" s="1"/>
  <c r="G34"/>
  <c r="H32"/>
  <c r="F29"/>
  <c r="F36"/>
  <c r="E37"/>
  <c r="H37"/>
  <c r="G140" i="5"/>
  <c r="L18" i="4"/>
  <c r="G29"/>
  <c r="G32"/>
  <c r="F32"/>
  <c r="D32"/>
  <c r="I29"/>
  <c r="I27" s="1"/>
  <c r="H34"/>
  <c r="H25"/>
  <c r="I24"/>
  <c r="I23" s="1"/>
  <c r="F30"/>
  <c r="D36"/>
  <c r="E36"/>
  <c r="E31" s="1"/>
  <c r="I34"/>
  <c r="E29"/>
  <c r="G36"/>
  <c r="E30"/>
  <c r="D29"/>
  <c r="D20"/>
  <c r="H29"/>
  <c r="H33"/>
  <c r="I35"/>
  <c r="D35"/>
  <c r="I33"/>
  <c r="D33"/>
  <c r="G35"/>
  <c r="L12" i="16"/>
  <c r="C19" i="3"/>
  <c r="D19" s="1"/>
  <c r="C22"/>
  <c r="D22" s="1"/>
  <c r="F37" i="4"/>
  <c r="G37"/>
  <c r="D8" i="3"/>
  <c r="C6"/>
  <c r="D6" s="1"/>
  <c r="C48"/>
  <c r="D48" s="1"/>
  <c r="L42" i="16"/>
  <c r="L52" s="1"/>
  <c r="C47" i="3"/>
  <c r="D47" s="1"/>
  <c r="L41" i="16"/>
  <c r="D14" i="3"/>
  <c r="K14" i="4"/>
  <c r="G30"/>
  <c r="G6" i="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L16" i="4"/>
  <c r="E23"/>
  <c r="C54" i="3"/>
  <c r="H31" i="7"/>
  <c r="D56" i="3"/>
  <c r="J26" i="4" l="1"/>
  <c r="C35" i="3" s="1"/>
  <c r="D35" s="1"/>
  <c r="J12" i="4"/>
  <c r="C49" i="3"/>
  <c r="D49" s="1"/>
  <c r="J22" i="4"/>
  <c r="L25" i="16" s="1"/>
  <c r="J28" i="4"/>
  <c r="L31" i="16" s="1"/>
  <c r="H15" i="4"/>
  <c r="E15"/>
  <c r="F31"/>
  <c r="F15"/>
  <c r="H23"/>
  <c r="J19"/>
  <c r="L22" i="16" s="1"/>
  <c r="J8" i="4"/>
  <c r="J32"/>
  <c r="C55" i="3"/>
  <c r="D55" s="1"/>
  <c r="J21" i="4"/>
  <c r="L21" s="1"/>
  <c r="E27"/>
  <c r="J33"/>
  <c r="L36" i="16" s="1"/>
  <c r="J34" i="4"/>
  <c r="C43" i="3" s="1"/>
  <c r="D43" s="1"/>
  <c r="D15" i="4"/>
  <c r="J20"/>
  <c r="L23" i="16" s="1"/>
  <c r="J30" i="4"/>
  <c r="L33" i="16" s="1"/>
  <c r="D27" i="4"/>
  <c r="J29"/>
  <c r="L29" s="1"/>
  <c r="J35"/>
  <c r="C44" i="3" s="1"/>
  <c r="D44" s="1"/>
  <c r="J36" i="4"/>
  <c r="L36" s="1"/>
  <c r="J24"/>
  <c r="L27" i="16" s="1"/>
  <c r="J25" i="4"/>
  <c r="L25" s="1"/>
  <c r="L13" i="16"/>
  <c r="L21"/>
  <c r="H27" i="4"/>
  <c r="C27" i="3"/>
  <c r="D27" s="1"/>
  <c r="I31" i="4"/>
  <c r="I14" s="1"/>
  <c r="F27"/>
  <c r="C18" i="3"/>
  <c r="D18" s="1"/>
  <c r="H140" i="5"/>
  <c r="C51" i="3" s="1"/>
  <c r="H31" i="4"/>
  <c r="L16" i="16"/>
  <c r="D31" i="4"/>
  <c r="L29" i="16"/>
  <c r="G31" i="4"/>
  <c r="J99" i="5"/>
  <c r="L26" i="4"/>
  <c r="D13" i="3"/>
  <c r="J37" i="4"/>
  <c r="C46" i="3" s="1"/>
  <c r="D46" s="1"/>
  <c r="L17" i="4"/>
  <c r="L20" i="16"/>
  <c r="E14" i="4"/>
  <c r="D54" i="3"/>
  <c r="C52"/>
  <c r="C21"/>
  <c r="D21" s="1"/>
  <c r="L15" i="16"/>
  <c r="L11"/>
  <c r="L68" s="1"/>
  <c r="C25" i="3"/>
  <c r="D25" s="1"/>
  <c r="L19" i="16"/>
  <c r="L40"/>
  <c r="L51"/>
  <c r="G27" i="4"/>
  <c r="C17" i="3"/>
  <c r="D17" s="1"/>
  <c r="L8" i="4"/>
  <c r="E7"/>
  <c r="G7"/>
  <c r="I7"/>
  <c r="F7"/>
  <c r="H7"/>
  <c r="C31" i="3" l="1"/>
  <c r="D31" s="1"/>
  <c r="L22" i="4"/>
  <c r="C37" i="3"/>
  <c r="D37" s="1"/>
  <c r="L19" i="4"/>
  <c r="L28"/>
  <c r="C28" i="3"/>
  <c r="D28" s="1"/>
  <c r="J23" i="4"/>
  <c r="C32" i="3" s="1"/>
  <c r="D32" s="1"/>
  <c r="F14" i="4"/>
  <c r="F42" s="1"/>
  <c r="L24" i="16"/>
  <c r="L18" s="1"/>
  <c r="C30" i="3"/>
  <c r="D30" s="1"/>
  <c r="J15" i="4"/>
  <c r="L15" s="1"/>
  <c r="J7"/>
  <c r="L7" s="1"/>
  <c r="D14"/>
  <c r="D42" s="1"/>
  <c r="J31"/>
  <c r="C40" i="3" s="1"/>
  <c r="D40" s="1"/>
  <c r="J27" i="4"/>
  <c r="L27" s="1"/>
  <c r="K37"/>
  <c r="K42" s="1"/>
  <c r="L38" i="16"/>
  <c r="L24" i="4"/>
  <c r="L28" i="16"/>
  <c r="L26" s="1"/>
  <c r="C41" i="3"/>
  <c r="D41" s="1"/>
  <c r="L34" i="4"/>
  <c r="L32"/>
  <c r="L37" i="16"/>
  <c r="L30" i="4"/>
  <c r="C34" i="3"/>
  <c r="D34" s="1"/>
  <c r="L35" i="16"/>
  <c r="C39" i="3"/>
  <c r="D39" s="1"/>
  <c r="C38"/>
  <c r="D38" s="1"/>
  <c r="G14" i="4"/>
  <c r="G42" s="1"/>
  <c r="H14"/>
  <c r="H42" s="1"/>
  <c r="C33" i="3"/>
  <c r="D33" s="1"/>
  <c r="C42"/>
  <c r="D42" s="1"/>
  <c r="L32" i="16"/>
  <c r="L30" s="1"/>
  <c r="I139" i="5"/>
  <c r="L35" i="4"/>
  <c r="L33"/>
  <c r="C45" i="3"/>
  <c r="D45" s="1"/>
  <c r="C29"/>
  <c r="D29" s="1"/>
  <c r="L39" i="16"/>
  <c r="L20" i="4"/>
  <c r="I42"/>
  <c r="D51" i="3"/>
  <c r="E51"/>
  <c r="E42" i="4"/>
  <c r="L50" i="16"/>
  <c r="L11" i="4"/>
  <c r="L14" i="16"/>
  <c r="L10" s="1"/>
  <c r="D11" i="3"/>
  <c r="C66"/>
  <c r="D66" s="1"/>
  <c r="D52"/>
  <c r="L31" i="4"/>
  <c r="C20" i="3"/>
  <c r="L23" i="4" l="1"/>
  <c r="C24" i="3"/>
  <c r="D24" s="1"/>
  <c r="J14" i="4"/>
  <c r="J42" s="1"/>
  <c r="L34" i="16"/>
  <c r="L17" s="1"/>
  <c r="L67" s="1"/>
  <c r="L72" s="1"/>
  <c r="L73" s="1"/>
  <c r="C36" i="3"/>
  <c r="D36" s="1"/>
  <c r="D10"/>
  <c r="D20"/>
  <c r="C16"/>
  <c r="L14" i="4" l="1"/>
  <c r="C23" i="3"/>
  <c r="D23" s="1"/>
  <c r="L42" i="4"/>
  <c r="L59" i="16"/>
  <c r="I4"/>
  <c r="J4" s="1"/>
  <c r="J55" s="1"/>
  <c r="C64" i="3"/>
  <c r="D16"/>
  <c r="C65" l="1"/>
  <c r="D64"/>
  <c r="C68"/>
  <c r="C63"/>
  <c r="C62"/>
  <c r="L4" i="16"/>
  <c r="J63"/>
  <c r="J58"/>
  <c r="C67" i="3"/>
  <c r="D65"/>
  <c r="L63" i="16" l="1"/>
  <c r="L58"/>
  <c r="L55"/>
  <c r="J64"/>
  <c r="J65" s="1"/>
  <c r="J60"/>
  <c r="J61" s="1"/>
  <c r="L60" l="1"/>
  <c r="L61" s="1"/>
  <c r="L64"/>
  <c r="L65" s="1"/>
</calcChain>
</file>

<file path=xl/comments1.xml><?xml version="1.0" encoding="utf-8"?>
<comments xmlns="http://schemas.openxmlformats.org/spreadsheetml/2006/main">
  <authors>
    <author>Kanhnha</author>
  </authors>
  <commentList>
    <comment ref="A18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Should be on 6 Nov 2010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should clarify with them the way they calculate.
It is not on 10 Nov, but 6 Nov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No receipt. Pls make it!
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Cash advance to Mr. Phean for maitenance, not tansportation allowance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In one reciept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There's a receipt on 9 Nov with the amount 4000R, for Mr. Phean transportation, but no record in Cashbook.
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Kanhnha:</t>
        </r>
        <r>
          <rPr>
            <sz val="9"/>
            <color indexed="81"/>
            <rFont val="Tahoma"/>
            <family val="2"/>
          </rPr>
          <t xml:space="preserve">
No receipt for ISF B rwk mëg. </t>
        </r>
      </text>
    </comment>
  </commentList>
</comments>
</file>

<file path=xl/comments2.xml><?xml version="1.0" encoding="utf-8"?>
<comments xmlns="http://schemas.openxmlformats.org/spreadsheetml/2006/main">
  <authors>
    <author>Ms. MARION DUFFIEUX</author>
  </authors>
  <commentList>
    <comment ref="C67" authorId="0">
      <text>
        <r>
          <rPr>
            <b/>
            <sz val="9"/>
            <color indexed="81"/>
            <rFont val="Tahoma"/>
            <family val="2"/>
          </rPr>
          <t>Ms. MARION DUFFIEUX:</t>
        </r>
        <r>
          <rPr>
            <sz val="9"/>
            <color indexed="81"/>
            <rFont val="Tahoma"/>
            <family val="2"/>
          </rPr>
          <t xml:space="preserve">
Is this cell is not TRUE, check for the mistake!</t>
        </r>
      </text>
    </comment>
  </commentList>
</comments>
</file>

<file path=xl/sharedStrings.xml><?xml version="1.0" encoding="utf-8"?>
<sst xmlns="http://schemas.openxmlformats.org/spreadsheetml/2006/main" count="785" uniqueCount="388">
  <si>
    <t xml:space="preserve">TEST: </t>
  </si>
  <si>
    <t>ចាក់សាំងធ្វើដំណើរឡើងដោះស្រាយ</t>
  </si>
  <si>
    <t>ឧបត្ថម្ភកាត់ទូរស័ព្ទមេឃុំ ២នាក់</t>
  </si>
  <si>
    <t>ចាក់សាំងធ្វើដំណើរទៅទទួលលុយផ្ទះមេឃុំ</t>
  </si>
  <si>
    <t>ចាក់សាំងធ្វើដំណើរទៅភូមិថ្មីជួបនាងសារីន</t>
  </si>
  <si>
    <t>ចាក់សាំងធ្វើដំណើរបើកសំណាញ់រង់ទ្វាទឹក</t>
  </si>
  <si>
    <t>ទិញអាហារសំរន់ប្រជុំ</t>
  </si>
  <si>
    <t>ចាក់សាំងធ្វើដំណើរទៅសាលាឃុំស្តៅកោង</t>
  </si>
  <si>
    <t>ទិញបូ៑សីម៉ូតូមួយគ្រាប់ និងលាងបេន</t>
  </si>
  <si>
    <t>ចាក់សាំងធ្វើដំណើរប្រាក់គណៈកម្មាប្រជុំ</t>
  </si>
  <si>
    <t>ផ្លាស់ពោះវៀនម៉ូតូមួយ</t>
  </si>
  <si>
    <t>អាហារប្រជុំរៀបចំផែនការណ៍ស្រោចស្រព</t>
  </si>
  <si>
    <t>ចាក់សាំងធ្វើដំណើរកំពង់ស្វាយ និងភូមិថ្មី</t>
  </si>
  <si>
    <t>ចាក់សាំងទៅធនាគារដើម្បីផ្ទេរលុយ</t>
  </si>
  <si>
    <t>ទិញបែ ចំនួន៣០សំរាប់ច្រកដីដាក់មុខឡូ</t>
  </si>
  <si>
    <t>ចាក់ដីឡូកន្លែងត្រពាំងស្នៅ</t>
  </si>
  <si>
    <t>ចាក់សាំងម៉ូតូទៅផ្សារកំពង់ត្របែក</t>
  </si>
  <si>
    <t>ចាក់សាំងធ្វើដំណើរច្រកដឺដាក់ឡូ</t>
  </si>
  <si>
    <t>ចាក់សាំងធ្វើដំណើរច្រកដីដាក់មុខឡូ</t>
  </si>
  <si>
    <t>សឹមស្រូយចាក់សាំងបិទទ្វាទឹក</t>
  </si>
  <si>
    <t>សឹមស្រូយចាក់សាំងនៅភូមិថ្មីតាមដានអ្នកសុំប័ណ្ណ</t>
  </si>
  <si>
    <t>សឹមស្រូយទិញស្បែកហ្វ្រាំងម៉ូតូ</t>
  </si>
  <si>
    <t>ស្រីប៑នលើកដីដាក់ឡូត្រពាំងស្តៅ</t>
  </si>
  <si>
    <t>ចាក់សាំងធ្វើដំណើរប្រជុំរយៈពេល ៥ថ្ងៃ</t>
  </si>
  <si>
    <t>ប៉ាល់ភាន ទិញខ្សែចងកន្លះគីឡូ</t>
  </si>
  <si>
    <t>ឡផ្លូវ ៣ទឹកដាក់ត្រពាំស្តៅ</t>
  </si>
  <si>
    <t>ឡផ្លូវ ទិញប្រេងបាត</t>
  </si>
  <si>
    <t>ឡផ្លូវចាក់សាំងធ្វើដំណើរនាំអ្នកលើស្តាប្រឡាយរង</t>
  </si>
  <si>
    <t>ឡផ្លូវចាក់សាំងធ្វើដំណើររកកន្សោមអក</t>
  </si>
  <si>
    <t>ឡផ្លូវចាក់សាំងទៅទិញឡូនៅផ្សារកអណ្តើក ជាមួយអាហារ</t>
  </si>
  <si>
    <t>ស្រូយចាក់សាំងធ្វើដំណើរចុះត្រួតពិនិត្យអ្នកស្តាប្រឡាយ</t>
  </si>
  <si>
    <t>ស្រូយចាក់សាំងទៅទំលាក់ទ្វាទឹកដើមពោធិ</t>
  </si>
  <si>
    <t>ចាក់សាំងធ្វើដំណើទប់ទ្វារទឹក</t>
  </si>
  <si>
    <t>ចាក់សាំងទៅកំពង់ត្របែកទិញជ័រទុយោ</t>
  </si>
  <si>
    <t>សាំងតទុយោម៉ាសីន</t>
  </si>
  <si>
    <t>សាំងធ្វើដំណើរទៅដោះស្រាយភូមិថ្មី</t>
  </si>
  <si>
    <t>ទិញជ័រទុយោ</t>
  </si>
  <si>
    <t>តំឡើងម៉ាសីន</t>
  </si>
  <si>
    <t>No receipt on 29 Nov for 20000, culvert installation</t>
  </si>
  <si>
    <t>ទិញខ្ចៅ និងខ្លាញ់ជួសជុលទ្វារទឹក១២កន្លែង</t>
  </si>
  <si>
    <t>កាតទូរស័ព្ទសំរាប់ប្រធាន?</t>
  </si>
  <si>
    <t>ទិញកាតទូរស័ព្ទ ២ដុល្លាសំរាប់ហិរញ្ញឹក</t>
  </si>
  <si>
    <t>បិច្ច្ច ថតចំលង</t>
  </si>
  <si>
    <t>ប៉ាល់ភានជួលគេលើកដីទប់ប្រឡាយមេ</t>
  </si>
  <si>
    <t xml:space="preserve">ទិញអាគុយ៧០ </t>
  </si>
  <si>
    <t>ប្រេងម៉ាស៊ូត</t>
  </si>
  <si>
    <t xml:space="preserve">សៀវភៅកត់ត្រាចំណូលចំណាយ </t>
  </si>
  <si>
    <t>រដូវទី១០ ខែវិច្ឆិកា ២០១០ ដល់ខែកុម្ភៈ ២០១១</t>
  </si>
  <si>
    <t>កាលបរិច្ឆេទ</t>
  </si>
  <si>
    <t>វិក័យប័ត្រ</t>
  </si>
  <si>
    <t>បរិយាយ</t>
  </si>
  <si>
    <t>ចំណូល</t>
  </si>
  <si>
    <t>ចំណាយ</t>
  </si>
  <si>
    <t>លុយសល់</t>
  </si>
  <si>
    <t>កូដ</t>
  </si>
  <si>
    <t>បញ្ជីកត់ត្រាប្រាក់ដកមុន</t>
  </si>
  <si>
    <t>រដូវទី១០  _ ខែវិច្ឆិកា ២០១០ ដល់ខែមេសា២០១១</t>
  </si>
  <si>
    <t>លុយចូល</t>
  </si>
  <si>
    <t>លុយចេញ</t>
  </si>
  <si>
    <t>ខែ</t>
  </si>
  <si>
    <t>ល.រ</t>
  </si>
  <si>
    <t>អ្នកទទួលខុសត្រូវ</t>
  </si>
  <si>
    <t>របាយការណ៍ធនាគារ</t>
  </si>
  <si>
    <t>គម្រោងថវិកា និងការចំណាយជាក់ស្តែង</t>
  </si>
  <si>
    <t>សហគមន៍កសិករប្រើប្រាស់ទឹកប្រព័ន្ធធារាសាស្ត្រស្តៅកោង_រដូវទី១០</t>
  </si>
  <si>
    <t>រដូវទី១០</t>
  </si>
  <si>
    <t>សរុបរដូវទី១០</t>
  </si>
  <si>
    <t>គម្រោងថវិកាសំរាប់រដូវទី១០</t>
  </si>
  <si>
    <t>% ខុសគ្នា</t>
  </si>
  <si>
    <t>វិច្ឆិកា</t>
  </si>
  <si>
    <t>ធ្នូ</t>
  </si>
  <si>
    <t>មករា</t>
  </si>
  <si>
    <t>កុម្ភៈ</t>
  </si>
  <si>
    <t>មិនា</t>
  </si>
  <si>
    <t>តុលា</t>
  </si>
  <si>
    <t>ចំណូលពីប្រាក់សេវាកម្មឆ្នាំនេះ</t>
  </si>
  <si>
    <t>ចំណូលពីប្រាក់សេវាកម្មឆ្នាំមុន</t>
  </si>
  <si>
    <t>ប្រាក់សមាជិកភាព</t>
  </si>
  <si>
    <t>ប្រាក់ជំនួយ</t>
  </si>
  <si>
    <t>ការប្រាក់ពីធនាគារ</t>
  </si>
  <si>
    <t>ប្រាក់ចំណុលផ្សេងៗ</t>
  </si>
  <si>
    <t>ប្រធានសហគមន៍</t>
  </si>
  <si>
    <t>តំណាងភូមិ</t>
  </si>
  <si>
    <t>អ្នកប្រមូលប្រាក់សេវាកម្ម</t>
  </si>
  <si>
    <t>មេឃុំ</t>
  </si>
  <si>
    <t>មេភូមិ</t>
  </si>
  <si>
    <t>ប៉ូលីស</t>
  </si>
  <si>
    <t>ប្រាក់ឧត្ថម្ភថ្លៃធ្វើដំណើរ</t>
  </si>
  <si>
    <t>ការចំណាយជាប្រចាំ និងប្រជុំ</t>
  </si>
  <si>
    <t>សេវាកម្ម</t>
  </si>
  <si>
    <t>អ្នកបិទបើកទ្វារទឹក និងកាន់ម៉ាស៊ីន</t>
  </si>
  <si>
    <t>ប្រេងម៉ាស៊ូត និងថ្លៃដឹកជញ្ជូន</t>
  </si>
  <si>
    <t>ប្រេងបាត</t>
  </si>
  <si>
    <t>ម៉ាស៊ីនបូមទឹក</t>
  </si>
  <si>
    <t>ប្រឡាយមេ</t>
  </si>
  <si>
    <t>ប្រឡាយរង</t>
  </si>
  <si>
    <t>ទ្វារទឹក</t>
  </si>
  <si>
    <t>សំណង់ផ្សេងៗ</t>
  </si>
  <si>
    <t>បោះឆ្នោត</t>
  </si>
  <si>
    <t>សំភារៈ</t>
  </si>
  <si>
    <t>ការជួសជុលថែទាំធំៗ</t>
  </si>
  <si>
    <t>ទិញម៉ាស៊ីនបូមទឹកថ្មី</t>
  </si>
  <si>
    <t>ចំណូលសរុប</t>
  </si>
  <si>
    <t>ចំណាយសរុប</t>
  </si>
  <si>
    <t>ប្រាក់ឧបត្ថម្ភ</t>
  </si>
  <si>
    <t>ការចំណាយលើដំណើរការស្រោចស្រព</t>
  </si>
  <si>
    <t>ការចំណាយលើការថែទាំប្រចាំឆ្នាំ</t>
  </si>
  <si>
    <t>ការចំណាយលើការជួសជុលថែទាំធំៗ</t>
  </si>
  <si>
    <t>ការចំណាយពិសេស</t>
  </si>
  <si>
    <t>ប្រាក់បំរុងទុក</t>
  </si>
  <si>
    <t>របាយការណ៍ហិរញ្ញវត្ថុ</t>
  </si>
  <si>
    <t>សរុប (រៀល)</t>
  </si>
  <si>
    <t>លុយសល់ដើមគ្រា</t>
  </si>
  <si>
    <t>គណនីធនាគារ</t>
  </si>
  <si>
    <t>ទូរដែក</t>
  </si>
  <si>
    <t>ប្រាក់ដកមុនអោយនាយកប្រតិបត្តិ</t>
  </si>
  <si>
    <t>ប្រាក់ដកមុនអោយប្រធានសហគមន៍</t>
  </si>
  <si>
    <t>ប្រាក់ដកមុនអោយហិរញ្ញឹក</t>
  </si>
  <si>
    <t>ប្រាក់ដកមុនអោយអ្នកផ្តល់ប័ណ្ណ</t>
  </si>
  <si>
    <t>ថ្លៃសសេវាកម្មសំរាប់ឆ្នាំនេះ</t>
  </si>
  <si>
    <t>ប្រាក់សេវាកម្មពីឆ្នាំមុន</t>
  </si>
  <si>
    <t>ការប្រាក់ធនាគារ</t>
  </si>
  <si>
    <t>ចំណូលផ្សេងៗ</t>
  </si>
  <si>
    <t>ការចំណាយ</t>
  </si>
  <si>
    <t>អ្នកតំណាងភូមិ</t>
  </si>
  <si>
    <t>ប្រធានក្រមុ</t>
  </si>
  <si>
    <t>អ្នកប្រមូលថ្លៃសេវាកម្ម</t>
  </si>
  <si>
    <t>ប្រាក់ឧបត្ថម្ភថ្លៃធ្វើដំណើរ</t>
  </si>
  <si>
    <t>ការចំណាយជាប្រចាំ, ប្រជុំ</t>
  </si>
  <si>
    <t>អ្នកកាន់ម៉ាស៊ីន និងបិទបើកទ្វារទឹក</t>
  </si>
  <si>
    <t>ការថែទាំប្រចាំឆ្នាំ</t>
  </si>
  <si>
    <t>ម៉ាស៊ីនបូម</t>
  </si>
  <si>
    <t>ការជួសជុលធំៗនិងយូរអង្វែង</t>
  </si>
  <si>
    <t>សំំភារៈ</t>
  </si>
  <si>
    <t>លុយសល់ចុងគ្រា</t>
  </si>
  <si>
    <t>ប្រាក់ដកមុនអោយបុគ្គលិក</t>
  </si>
  <si>
    <t>ប្រាក់ដកមុនអោយអនុប្រធាន</t>
  </si>
  <si>
    <t>ប្រាក់ដកមុនអោយអ្នកតំណាងភូមិ</t>
  </si>
  <si>
    <t>សរុប</t>
  </si>
  <si>
    <r>
      <rPr>
        <sz val="11"/>
        <color indexed="8"/>
        <rFont val="Khmer OS"/>
      </rPr>
      <t>អត្រាប្តូរប្រាក់</t>
    </r>
    <r>
      <rPr>
        <sz val="11"/>
        <color theme="1"/>
        <rFont val="Calibri"/>
        <family val="2"/>
        <scheme val="minor"/>
      </rPr>
      <t xml:space="preserve"> </t>
    </r>
  </si>
  <si>
    <t>ចាក់សាំងធ្វើដំណើរទៅផ្សារកំពង់ត្របែកទិញអាគុយ</t>
  </si>
  <si>
    <t>ប្រជុំវគ្គបណ្តុបណ្តាលគ្រប់គ្រង</t>
  </si>
  <si>
    <t>ចាក់សាំងធ្វើដំណើរត្រួតពិនិត្យផ្ទៃដីតាមភូមិ</t>
  </si>
  <si>
    <t>ចាក់សាំងធ្វើដំណើរទៅទិញប្រេងផ្សារកំពង់ត្របែក</t>
  </si>
  <si>
    <t>ក្បាលអាគុយ</t>
  </si>
  <si>
    <t>អត់មានបង្កាន់ដៃបង់ប្រាក់ភ្ជាប់មកជាមួយ</t>
  </si>
  <si>
    <t>ខ្សែរពាន</t>
  </si>
  <si>
    <t>ប្រេងម៉ាស៊ីន</t>
  </si>
  <si>
    <t>ផ្សារពោះម៉ាស៊ីន</t>
  </si>
  <si>
    <t>គ្មានវិក័យប័ត្រតែមានចំណារជាអក្សរ</t>
  </si>
  <si>
    <t>កំលាំងពលកម្មផ្សារម៉ាស៊ីន</t>
  </si>
  <si>
    <t>ទិញសៀវភៅ ប៊ិច និងទឹកលប់</t>
  </si>
  <si>
    <t>ដកលុយពីធនាគារមកចាយ</t>
  </si>
  <si>
    <t xml:space="preserve">ប្រេងម៉ាស៊ុត </t>
  </si>
  <si>
    <t>ឈ្មួលដឹកប្រេង</t>
  </si>
  <si>
    <t>ទិញសាំងបូមទឹកបញ្ចូលម៉ាស៊ីនធំ</t>
  </si>
  <si>
    <t>សាំង</t>
  </si>
  <si>
    <t>ប្រេងសាំង</t>
  </si>
  <si>
    <t>សាំងបញ្ចូលអាគុយ</t>
  </si>
  <si>
    <t>ជួលដឹកក្រដុងប្រេងទៅផ្សាកំពង់ត្របែក</t>
  </si>
  <si>
    <t>ដឹកទ្វាទឹកប្រឡាយរងទី១២ ១៣ និង៧ យកមកទុក្ខនៅផ្ទះពូស្រូយ</t>
  </si>
  <si>
    <t>អត់មានវិក័យប័ត្រតែមានលេខទូរស័ព្ទ</t>
  </si>
  <si>
    <t>ឧបត្ថម្ភអាហារធ្វើដំណើរទៅធនាគារ</t>
  </si>
  <si>
    <t>ឈ្មួលដឹកជញ្ជូន</t>
  </si>
  <si>
    <t>កាត់ទូរស័ព្ទ</t>
  </si>
  <si>
    <t>សាំងបូមទឹកបញ្ចូលម៉ាស៊ីនធំ</t>
  </si>
  <si>
    <t>អត់មានវិក័យប័ត្រ</t>
  </si>
  <si>
    <t>អោយប្រេងម៉ាស៊ុតម្ចាស់ស្រែបូមទឹកដាក់ដោយខ្លួនឯង</t>
  </si>
  <si>
    <t>ឧបត្ថម្ភអាហារធ្វើដំណើរទៅដកលុយនៅធនាគារ</t>
  </si>
  <si>
    <t>សាំងស៊ុបពែ</t>
  </si>
  <si>
    <t>ម៉ាស៊ុត</t>
  </si>
  <si>
    <t>ផ្តាងម៉ូតូ</t>
  </si>
  <si>
    <t>សំបក និងពោះវៀនម៉ូតូ</t>
  </si>
  <si>
    <t>ទិញសៀវភៅធនាគារអេស៊ីលេដា</t>
  </si>
  <si>
    <t>បញ្ចូលអាគុយម៉ាស៊ីនសំរាប់ដេរ</t>
  </si>
  <si>
    <t>ឈ្មួលដឹក</t>
  </si>
  <si>
    <t>ទិញប្រេង</t>
  </si>
  <si>
    <t>ថ្លៃបិទគណនីនៅអ្នកលឿង</t>
  </si>
  <si>
    <t>លុយមានដើមគ្រា</t>
  </si>
  <si>
    <t xml:space="preserve">Physical check on 9 Feb 2011 missing = </t>
  </si>
  <si>
    <t>លុយចាប់ផ្តើមនូវខែ កក្តដា ២០១០</t>
  </si>
  <si>
    <t>លុយដែលបានមកពីក្រសួងធនធានទឹក</t>
  </si>
  <si>
    <t>ចំណាយរបស់ធនាគារចំពោះលុយដែលបានមកពីក្រសួងធនធានទឺក</t>
  </si>
  <si>
    <t>លុយដែលដកពីធនាគារ</t>
  </si>
  <si>
    <t>ដកលុយដើម្បីផ្លាស់ប្តូរប្រភេទគណនី</t>
  </si>
  <si>
    <t>ចំណូលពីការប្រាក់ធនាគារ</t>
  </si>
  <si>
    <t>លុយដែលបានមកពីការដកការផ្លាស់ប្តូរគណនីពីលើកមុន</t>
  </si>
  <si>
    <t>ការបិទគណនីនៅអ្នកលឿង</t>
  </si>
  <si>
    <t>ការបើកគណនីថ្មីនៅកអណ្តើក</t>
  </si>
  <si>
    <t>ពន្ធពីធនាគារ</t>
  </si>
  <si>
    <t xml:space="preserve">ដកលុយពីធនាគារ </t>
  </si>
  <si>
    <t>ដកលុយពីធនាគារ</t>
  </si>
  <si>
    <t>លុយចូល និង លុយចេញ</t>
  </si>
  <si>
    <t>FWUC SDAO KONG - PREY VENG</t>
  </si>
  <si>
    <t>Code</t>
  </si>
  <si>
    <t>Designation</t>
  </si>
  <si>
    <t>Unit</t>
  </si>
  <si>
    <t>Unit price</t>
  </si>
  <si>
    <t>Quantity</t>
  </si>
  <si>
    <t>Total per category</t>
  </si>
  <si>
    <t>%age</t>
  </si>
  <si>
    <t>Allowances</t>
  </si>
  <si>
    <t>FWUC president</t>
  </si>
  <si>
    <t>Person - season</t>
  </si>
  <si>
    <t>Village representative</t>
  </si>
  <si>
    <t>Group leaders</t>
  </si>
  <si>
    <t>ISF collector</t>
  </si>
  <si>
    <t>Commune chief</t>
  </si>
  <si>
    <t>Village chiefs</t>
  </si>
  <si>
    <t>Police</t>
  </si>
  <si>
    <t>Transportation allowance</t>
  </si>
  <si>
    <t>Per travel</t>
  </si>
  <si>
    <t>Running costs and meetings</t>
  </si>
  <si>
    <t>Per month</t>
  </si>
  <si>
    <t>Services</t>
  </si>
  <si>
    <t>Per day</t>
  </si>
  <si>
    <t>Operation costs</t>
  </si>
  <si>
    <t>Pump &amp; gate operators</t>
  </si>
  <si>
    <t>Day</t>
  </si>
  <si>
    <t>Diesel / transport</t>
  </si>
  <si>
    <t>Kan / 30 liter</t>
  </si>
  <si>
    <t>Engine oil</t>
  </si>
  <si>
    <t>Thong / 18 liter</t>
  </si>
  <si>
    <t>Yearly maintenance</t>
  </si>
  <si>
    <t>Pump</t>
  </si>
  <si>
    <t>Month</t>
  </si>
  <si>
    <t>Main canal</t>
  </si>
  <si>
    <t>Meter</t>
  </si>
  <si>
    <t>Secondary canals</t>
  </si>
  <si>
    <t>Canal</t>
  </si>
  <si>
    <t>Gates</t>
  </si>
  <si>
    <t>Gate</t>
  </si>
  <si>
    <t>Other structures</t>
  </si>
  <si>
    <t>Struct.</t>
  </si>
  <si>
    <t>Major repairs and long term maintenance work</t>
  </si>
  <si>
    <t>Election</t>
  </si>
  <si>
    <t>Equipment</t>
  </si>
  <si>
    <t>Reserve for suppl. pumping</t>
  </si>
  <si>
    <t>Major repairs and long term maintenance</t>
  </si>
  <si>
    <t>ISF collection season 10</t>
  </si>
  <si>
    <t>ISF collection previous seasons</t>
  </si>
  <si>
    <t>Membership fee</t>
  </si>
  <si>
    <t>Donor subsidies</t>
  </si>
  <si>
    <t>Bank interests</t>
  </si>
  <si>
    <t>Other incomes</t>
  </si>
  <si>
    <t>Existing provisions</t>
  </si>
  <si>
    <t>Ressource available for season 10</t>
  </si>
  <si>
    <t>Expected incomes during season 10</t>
  </si>
  <si>
    <t>Planned regular expenses for season 10</t>
  </si>
  <si>
    <t>B</t>
  </si>
  <si>
    <t>C</t>
  </si>
  <si>
    <t>D</t>
  </si>
  <si>
    <t>E</t>
  </si>
  <si>
    <t>A11</t>
  </si>
  <si>
    <t>A10</t>
  </si>
  <si>
    <t>Exceptional operational costs (supplementary pumping)</t>
  </si>
  <si>
    <t>Ressources before season 10</t>
  </si>
  <si>
    <t>Resources after season 10</t>
  </si>
  <si>
    <t>Incomes - Expenditures</t>
  </si>
  <si>
    <t>B - C - D</t>
  </si>
  <si>
    <t>Incomes</t>
  </si>
  <si>
    <t>Outcomes</t>
  </si>
  <si>
    <t>Check 1</t>
  </si>
  <si>
    <t>Check 2</t>
  </si>
  <si>
    <t>Season 10 - Budget Plan -  [October 2010 - February 2011]</t>
  </si>
  <si>
    <t>B10</t>
  </si>
  <si>
    <t>B20</t>
  </si>
  <si>
    <t>B30</t>
  </si>
  <si>
    <t>B40</t>
  </si>
  <si>
    <t>B50</t>
  </si>
  <si>
    <t>B60</t>
  </si>
  <si>
    <t>C10</t>
  </si>
  <si>
    <t>C11</t>
  </si>
  <si>
    <t>C12</t>
  </si>
  <si>
    <t>C13</t>
  </si>
  <si>
    <t>C14</t>
  </si>
  <si>
    <t>C15</t>
  </si>
  <si>
    <t>C16</t>
  </si>
  <si>
    <t>C17</t>
  </si>
  <si>
    <t>C20</t>
  </si>
  <si>
    <t>C21</t>
  </si>
  <si>
    <t>C22</t>
  </si>
  <si>
    <t>C23</t>
  </si>
  <si>
    <t>C30</t>
  </si>
  <si>
    <t>C31</t>
  </si>
  <si>
    <t>C32</t>
  </si>
  <si>
    <t>C33</t>
  </si>
  <si>
    <t>C40</t>
  </si>
  <si>
    <t>C41</t>
  </si>
  <si>
    <t>C42</t>
  </si>
  <si>
    <t>C43</t>
  </si>
  <si>
    <t>C44</t>
  </si>
  <si>
    <t>C45</t>
  </si>
  <si>
    <t>AP10</t>
  </si>
  <si>
    <t>D10</t>
  </si>
  <si>
    <t>D20</t>
  </si>
  <si>
    <t>D30</t>
  </si>
  <si>
    <t>E10</t>
  </si>
  <si>
    <t>E20</t>
  </si>
  <si>
    <t>D40</t>
  </si>
  <si>
    <t>E30</t>
  </si>
  <si>
    <t>E40</t>
  </si>
  <si>
    <t>Total provisions after the season (=AP10-D+E)</t>
  </si>
  <si>
    <t>Ressource available for season 11 budget (=AR10+B-C-E)</t>
  </si>
  <si>
    <t>AR10 + AP10</t>
  </si>
  <si>
    <t>AP11 + AR11</t>
  </si>
  <si>
    <t>AR10 + AP10 + B</t>
  </si>
  <si>
    <t>C + D + AP11 + AR11</t>
  </si>
  <si>
    <t>Total expenditures for ISF calculation</t>
  </si>
  <si>
    <t>C + E</t>
  </si>
  <si>
    <t>ISF full</t>
  </si>
  <si>
    <t>Ha</t>
  </si>
  <si>
    <t>ISF collection expected</t>
  </si>
  <si>
    <t>Balance</t>
  </si>
  <si>
    <t>A20</t>
  </si>
  <si>
    <t>TX</t>
  </si>
  <si>
    <t>A31</t>
  </si>
  <si>
    <t>A32</t>
  </si>
  <si>
    <t>A34</t>
  </si>
  <si>
    <t>A33</t>
  </si>
  <si>
    <t>B-C-D</t>
  </si>
  <si>
    <t>សហគមន៍កសិករប្រើប្រាស់ទឹកស្តៅកោង</t>
  </si>
  <si>
    <t>A-S10</t>
  </si>
  <si>
    <t>A-S11</t>
  </si>
  <si>
    <t>សរុប ($US)</t>
  </si>
  <si>
    <t>AR-S10</t>
  </si>
  <si>
    <t>AP-S10</t>
  </si>
  <si>
    <t>AP-S11</t>
  </si>
  <si>
    <t>AR-S11</t>
  </si>
  <si>
    <t>AP20</t>
  </si>
  <si>
    <t>AP30</t>
  </si>
  <si>
    <t>AP40</t>
  </si>
  <si>
    <t>Special expenditures [use of provisions]</t>
  </si>
  <si>
    <t>Increase of provisions</t>
  </si>
  <si>
    <t>ISF for natural flow (25%)</t>
  </si>
  <si>
    <t>ISF if additional pumping needed (50%)</t>
  </si>
  <si>
    <t>Achieved</t>
  </si>
  <si>
    <t>ការចំណាយជាប្រចាំ</t>
  </si>
  <si>
    <t>Running costs</t>
  </si>
  <si>
    <t>A30</t>
  </si>
  <si>
    <t>A40</t>
  </si>
  <si>
    <t>Total (Plan)</t>
  </si>
  <si>
    <t>ចាក់សាំងធ្វើដំណើរទៅយកឯកសារ</t>
  </si>
  <si>
    <t>ចាក់សាំងម៉ាស៊ីនបូមទឹកតូច</t>
  </si>
  <si>
    <t>អាហារសាមគ្គីពេលប្រជុំ</t>
  </si>
  <si>
    <t>ចាក់សាំងធ្វើដំណើរមកប្រជុំ</t>
  </si>
  <si>
    <t>ជួលម៉ាស៊ីនបូមទឹកបញ្ចូលម៉ាស៊ីនធំ</t>
  </si>
  <si>
    <t>ដកប្រាក់យកទៅដាក់នៅធនាគារ</t>
  </si>
  <si>
    <t>ប្រាក់ឧបត្ថម្ភប្រធានគណៈកម្មាធិការ, ស៊ឹម ស្រូយ</t>
  </si>
  <si>
    <t>ប្រាក់ឧបត្ថម្ភគណៈកម្មាធិការ, អ៊ុក សុខា</t>
  </si>
  <si>
    <t>ប្រាក់ឧបត្ថម្ភគណៈកម្មាធិការ, ព្រាប វេត</t>
  </si>
  <si>
    <t>ប្រាក់ឧបត្ថម្ភគណៈកម្មាធិការ, ប៉ាល់ភាន</t>
  </si>
  <si>
    <t>ប្រាក់ឧបត្ថម្ភអ្នកផ្តល់ប័ណ្ណ, ជ័យ លន់</t>
  </si>
  <si>
    <t>ប្រាក់ឧបត្ថម្ភអ្នកផ្តល់ប័ណ្ណ, ស្រី ប៊ន</t>
  </si>
  <si>
    <t>ប្រាក់ឧបត្ថម្ភអ្នកផ្តល់ប័ណ្ណ, នាង ម៉េត</t>
  </si>
  <si>
    <t>ប្រាក់ឧបត្ថម្ភអ្នកកាន់ទភូមិកំពង់ស្វាយ</t>
  </si>
  <si>
    <t>ប្រាក់ឧបត្ថម្ភអ្នកកាន់ទភូមិក្រូច</t>
  </si>
  <si>
    <t>ប្រាក់ឧបត្ថម្ភមេភូមិថ្មី</t>
  </si>
  <si>
    <t>ប្រាក់ឧបត្ថម្ភមេភូមិទង់នាគ</t>
  </si>
  <si>
    <t>ប្រាក់ឧបត្ថម្ភអ្នកផ្តល់ប័ណ្ណ, គុជ រ៉ា</t>
  </si>
  <si>
    <t>ចាក់សាំងម៉ូតូចូលរួមបណ្តុះបណ្តាលលើការជួសជុលថែទាំ</t>
  </si>
  <si>
    <t>អាហារ និងថ្លៃធ្វើដំណើរទៅមន្ទីរធនធានទឹក</t>
  </si>
  <si>
    <t>ពន្ធលើការប្រាក់ធនាគារ</t>
  </si>
  <si>
    <t>ដាក់ប្រាក់</t>
  </si>
  <si>
    <t>ប្រាក់ឧបត្ថម្ភសំរាប់អ្នកកាន់ម៉ាស៊ីន</t>
  </si>
  <si>
    <t>ថ្លៃសេវាកម្មភូមិថ្មី</t>
  </si>
  <si>
    <t>ចាក់សាំងធ្វើដំណើរទៅធនាគារដើម្បីដាក់លុយ</t>
  </si>
  <si>
    <t>ចាក់សាំងធ្វើដំណើរទៅរកជាងផ្សារម៉ាស៊ីន</t>
  </si>
  <si>
    <t>ថ្លៃអហារពេលយកលុយទៅដាក់នៅធនាគារ</t>
  </si>
  <si>
    <t>កាតទូរស័ព្ទសំរាប់គណៈកម្មាធិការទាំង៤នាក់</t>
  </si>
  <si>
    <t>ឈ្នួលអ្នកកាន់ម៉ាស៊ីន</t>
  </si>
  <si>
    <t>ឧបត្ថម្ភប៉ូលីសឃុំស្តៅកោង</t>
  </si>
  <si>
    <t>ចាក់សាំងធ្វើដំណើររកជាងផ្សារពោងម៉ាស៊ីន</t>
  </si>
  <si>
    <t>ចាក់សាំងធ្វើដំណើរប្រមូលប្រាក់សេវាកម្ម</t>
  </si>
  <si>
    <t>ចាក់សាំងទៅថតចម្លង</t>
  </si>
  <si>
    <t>ប្រាក់សេវាកម្មភូមិថ្មី</t>
  </si>
  <si>
    <t>ប្រាក់សេវាកម្មភូមិក្រូច</t>
  </si>
  <si>
    <t>ចាក់សាំងធ្វើដំណើរទៅទារប្រាក់សេវាកម្មភូមិថ្មី</t>
  </si>
  <si>
    <t>ប្រាក់សេវាកម្មភូមិកំពង់ស្វាយ</t>
  </si>
  <si>
    <t>ប្រាក់សេវាកម្មភូមិទង់នាគ</t>
  </si>
  <si>
    <t>ថ្លៃសេវាកម្មកិច្ចសន្យាការងារជាមួយមជ្ឈមណ្ឌលសេវាកម្មធារាសាស្ត្រ</t>
  </si>
  <si>
    <t>ចាក់សាំងធ្វើដំណើរយកពាក្យឡើងសាលាឃុំ</t>
  </si>
  <si>
    <t>ប្រធានក្រុម</t>
  </si>
  <si>
    <t>ប្រាក់ជំពាក់ផ្សេងៗ</t>
  </si>
  <si>
    <t>ចាប់ផ្តើមពីថ្ងៃទី១៦ ខែមិថុនា ឆ្នាំ២០១០</t>
  </si>
  <si>
    <t>រដូវទី១០ ថ្ងៃទី១ ខែតុលា ឆ្នាំ២០១០ ដល់ថ្ងៃទី១៥ ខែមិនា ឆ្នាំ២០១១</t>
  </si>
  <si>
    <t>ដល់ថ្ងៃទី ១៥ ខែមិនា ឆ្នាំ២០១១</t>
  </si>
  <si>
    <t>ការផ្ទេរលុយ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</si>
</sst>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C09]dd\-mmm\-yy;@"/>
    <numFmt numFmtId="167" formatCode="_(* #,##0_);_(* \(#,##0\);_(* &quot;&quot;??_);_(@_)"/>
    <numFmt numFmtId="168" formatCode="d/mm/yy;@"/>
    <numFmt numFmtId="169" formatCode="dd\-mmm\-yy"/>
    <numFmt numFmtId="170" formatCode="[$-12000425]0"/>
    <numFmt numFmtId="171" formatCode="0.0%"/>
  </numFmts>
  <fonts count="5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Khmer OS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Khmer OS"/>
    </font>
    <font>
      <b/>
      <sz val="14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Khmer OS"/>
    </font>
    <font>
      <sz val="8"/>
      <color rgb="FFFF0000"/>
      <name val="Khmer OS"/>
    </font>
    <font>
      <b/>
      <sz val="11"/>
      <name val="Calibri"/>
      <family val="2"/>
      <scheme val="minor"/>
    </font>
    <font>
      <b/>
      <sz val="18"/>
      <color rgb="FF376092"/>
      <name val="Khmer OS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6"/>
      <color theme="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0"/>
      <name val="Arial"/>
      <family val="2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0"/>
      <name val="OS"/>
    </font>
    <font>
      <b/>
      <sz val="16"/>
      <color theme="0"/>
      <name val="Khmer OS"/>
    </font>
    <font>
      <sz val="14"/>
      <color theme="0"/>
      <name val="Khmer OS"/>
    </font>
    <font>
      <sz val="16"/>
      <color theme="1"/>
      <name val="Khmer OS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name val="Khmer OS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Khmer OS Battambang"/>
    </font>
    <font>
      <sz val="11"/>
      <color theme="1"/>
      <name val="Khmer OS Battambang"/>
    </font>
    <font>
      <b/>
      <sz val="11"/>
      <color theme="1"/>
      <name val="Khmer OS Battambang"/>
    </font>
    <font>
      <sz val="11"/>
      <name val="Khmer OS Battambang"/>
    </font>
    <font>
      <sz val="11"/>
      <color rgb="FFFF0000"/>
      <name val="Khmer OS Battambang"/>
    </font>
  </fonts>
  <fills count="3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theme="3" tint="0.59999389629810485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3" tint="0.59999389629810485"/>
      </right>
      <top/>
      <bottom style="thin">
        <color theme="4" tint="-0.49998474074526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1" xfId="0" applyFont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164" fontId="4" fillId="0" borderId="0" xfId="1" applyNumberFormat="1" applyFont="1"/>
    <xf numFmtId="0" fontId="0" fillId="0" borderId="0" xfId="0" applyAlignment="1">
      <alignment horizontal="right"/>
    </xf>
    <xf numFmtId="9" fontId="9" fillId="0" borderId="12" xfId="2" applyFont="1" applyBorder="1" applyAlignment="1">
      <alignment vertical="center"/>
    </xf>
    <xf numFmtId="0" fontId="6" fillId="0" borderId="0" xfId="0" applyFont="1" applyFill="1" applyAlignment="1">
      <alignment vertical="center"/>
    </xf>
    <xf numFmtId="164" fontId="4" fillId="0" borderId="0" xfId="1" applyNumberFormat="1" applyFont="1"/>
    <xf numFmtId="0" fontId="0" fillId="0" borderId="2" xfId="0" applyFont="1" applyBorder="1" applyProtection="1"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66" fontId="0" fillId="0" borderId="2" xfId="0" applyNumberFormat="1" applyFon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64" fontId="5" fillId="4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6" xfId="0" applyBorder="1"/>
    <xf numFmtId="164" fontId="4" fillId="0" borderId="2" xfId="1" applyNumberFormat="1" applyFont="1" applyBorder="1" applyProtection="1">
      <protection locked="0"/>
    </xf>
    <xf numFmtId="167" fontId="4" fillId="0" borderId="12" xfId="1" applyNumberFormat="1" applyFont="1" applyBorder="1" applyAlignment="1">
      <alignment vertical="center"/>
    </xf>
    <xf numFmtId="167" fontId="0" fillId="0" borderId="0" xfId="0" applyNumberForma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4" fillId="0" borderId="0" xfId="1" applyNumberFormat="1" applyFont="1"/>
    <xf numFmtId="168" fontId="0" fillId="0" borderId="0" xfId="0" applyNumberFormat="1"/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3" fontId="0" fillId="0" borderId="2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164" fontId="4" fillId="0" borderId="3" xfId="1" applyNumberFormat="1" applyFont="1" applyBorder="1" applyProtection="1">
      <protection locked="0"/>
    </xf>
    <xf numFmtId="1" fontId="0" fillId="0" borderId="2" xfId="0" applyNumberFormat="1" applyBorder="1" applyProtection="1">
      <protection locked="0"/>
    </xf>
    <xf numFmtId="164" fontId="4" fillId="5" borderId="2" xfId="1" applyNumberFormat="1" applyFont="1" applyFill="1" applyBorder="1" applyProtection="1">
      <protection locked="0"/>
    </xf>
    <xf numFmtId="3" fontId="6" fillId="5" borderId="2" xfId="0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4" fillId="0" borderId="0" xfId="1" applyNumberFormat="1" applyFont="1" applyProtection="1">
      <protection locked="0"/>
    </xf>
    <xf numFmtId="0" fontId="5" fillId="4" borderId="2" xfId="0" applyFont="1" applyFill="1" applyBorder="1" applyAlignment="1" applyProtection="1">
      <alignment horizontal="center" vertical="center"/>
    </xf>
    <xf numFmtId="0" fontId="0" fillId="0" borderId="2" xfId="0" applyBorder="1" applyProtection="1"/>
    <xf numFmtId="3" fontId="6" fillId="0" borderId="2" xfId="0" applyNumberFormat="1" applyFont="1" applyBorder="1" applyProtection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164" fontId="4" fillId="5" borderId="2" xfId="1" applyNumberFormat="1" applyFont="1" applyFill="1" applyBorder="1" applyProtection="1">
      <protection locked="0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>
      <alignment vertical="center"/>
    </xf>
    <xf numFmtId="167" fontId="6" fillId="2" borderId="12" xfId="0" applyNumberFormat="1" applyFont="1" applyFill="1" applyBorder="1" applyAlignment="1">
      <alignment vertical="center"/>
    </xf>
    <xf numFmtId="164" fontId="10" fillId="2" borderId="12" xfId="1" applyNumberFormat="1" applyFont="1" applyFill="1" applyBorder="1" applyAlignment="1">
      <alignment vertical="center"/>
    </xf>
    <xf numFmtId="10" fontId="10" fillId="2" borderId="12" xfId="2" applyNumberFormat="1" applyFont="1" applyFill="1" applyBorder="1" applyAlignment="1">
      <alignment vertical="center"/>
    </xf>
    <xf numFmtId="165" fontId="0" fillId="0" borderId="2" xfId="0" applyNumberFormat="1" applyBorder="1" applyProtection="1">
      <protection locked="0"/>
    </xf>
    <xf numFmtId="166" fontId="0" fillId="13" borderId="2" xfId="0" applyNumberFormat="1" applyFont="1" applyFill="1" applyBorder="1" applyProtection="1">
      <protection locked="0"/>
    </xf>
    <xf numFmtId="0" fontId="0" fillId="13" borderId="2" xfId="0" applyFill="1" applyBorder="1" applyProtection="1"/>
    <xf numFmtId="0" fontId="0" fillId="13" borderId="2" xfId="0" applyFont="1" applyFill="1" applyBorder="1" applyProtection="1">
      <protection locked="0"/>
    </xf>
    <xf numFmtId="0" fontId="0" fillId="13" borderId="2" xfId="0" applyFill="1" applyBorder="1" applyProtection="1">
      <protection locked="0"/>
    </xf>
    <xf numFmtId="164" fontId="4" fillId="13" borderId="2" xfId="1" applyNumberFormat="1" applyFont="1" applyFill="1" applyBorder="1" applyProtection="1">
      <protection locked="0"/>
    </xf>
    <xf numFmtId="3" fontId="6" fillId="13" borderId="2" xfId="0" applyNumberFormat="1" applyFont="1" applyFill="1" applyBorder="1" applyProtection="1"/>
    <xf numFmtId="165" fontId="0" fillId="14" borderId="2" xfId="0" applyNumberFormat="1" applyFont="1" applyFill="1" applyBorder="1" applyProtection="1">
      <protection locked="0"/>
    </xf>
    <xf numFmtId="0" fontId="0" fillId="14" borderId="2" xfId="0" applyFill="1" applyBorder="1" applyProtection="1"/>
    <xf numFmtId="0" fontId="0" fillId="14" borderId="2" xfId="0" applyFont="1" applyFill="1" applyBorder="1" applyProtection="1">
      <protection locked="0"/>
    </xf>
    <xf numFmtId="164" fontId="4" fillId="14" borderId="2" xfId="1" applyNumberFormat="1" applyFont="1" applyFill="1" applyBorder="1" applyProtection="1">
      <protection locked="0"/>
    </xf>
    <xf numFmtId="3" fontId="6" fillId="14" borderId="2" xfId="0" applyNumberFormat="1" applyFont="1" applyFill="1" applyBorder="1" applyProtection="1"/>
    <xf numFmtId="3" fontId="0" fillId="0" borderId="0" xfId="0" applyNumberFormat="1"/>
    <xf numFmtId="0" fontId="0" fillId="14" borderId="2" xfId="0" applyFill="1" applyBorder="1" applyProtection="1">
      <protection locked="0"/>
    </xf>
    <xf numFmtId="164" fontId="7" fillId="0" borderId="2" xfId="1" applyNumberFormat="1" applyFont="1" applyBorder="1" applyProtection="1">
      <protection locked="0"/>
    </xf>
    <xf numFmtId="0" fontId="7" fillId="0" borderId="0" xfId="0" applyFont="1"/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7" fontId="4" fillId="0" borderId="12" xfId="1" applyNumberFormat="1" applyFont="1" applyFill="1" applyBorder="1" applyAlignment="1">
      <alignment vertical="center"/>
    </xf>
    <xf numFmtId="9" fontId="9" fillId="8" borderId="12" xfId="2" applyFont="1" applyFill="1" applyBorder="1" applyAlignment="1">
      <alignment vertical="center"/>
    </xf>
    <xf numFmtId="0" fontId="20" fillId="0" borderId="2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0" fillId="13" borderId="2" xfId="0" applyFont="1" applyFill="1" applyBorder="1" applyProtection="1">
      <protection locked="0"/>
    </xf>
    <xf numFmtId="164" fontId="20" fillId="14" borderId="2" xfId="1" applyNumberFormat="1" applyFont="1" applyFill="1" applyBorder="1"/>
    <xf numFmtId="164" fontId="20" fillId="0" borderId="2" xfId="1" applyNumberFormat="1" applyFont="1" applyBorder="1"/>
    <xf numFmtId="0" fontId="7" fillId="0" borderId="2" xfId="0" applyFont="1" applyBorder="1" applyProtection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9" borderId="24" xfId="0" applyFill="1" applyBorder="1" applyAlignment="1">
      <alignment vertical="center"/>
    </xf>
    <xf numFmtId="164" fontId="0" fillId="9" borderId="24" xfId="0" applyNumberFormat="1" applyFill="1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24" xfId="1" applyNumberFormat="1" applyFont="1" applyBorder="1" applyAlignment="1">
      <alignment vertical="center"/>
    </xf>
    <xf numFmtId="171" fontId="0" fillId="0" borderId="24" xfId="2" applyNumberFormat="1" applyFont="1" applyBorder="1" applyAlignment="1">
      <alignment vertical="center"/>
    </xf>
    <xf numFmtId="164" fontId="0" fillId="0" borderId="24" xfId="2" applyNumberFormat="1" applyFont="1" applyBorder="1" applyAlignment="1">
      <alignment vertical="center"/>
    </xf>
    <xf numFmtId="164" fontId="0" fillId="0" borderId="24" xfId="1" applyNumberFormat="1" applyFont="1" applyFill="1" applyBorder="1" applyAlignment="1">
      <alignment vertical="center"/>
    </xf>
    <xf numFmtId="164" fontId="0" fillId="0" borderId="24" xfId="0" applyNumberFormat="1" applyFill="1" applyBorder="1" applyAlignment="1">
      <alignment vertical="center"/>
    </xf>
    <xf numFmtId="0" fontId="5" fillId="17" borderId="24" xfId="0" applyFont="1" applyFill="1" applyBorder="1" applyAlignment="1">
      <alignment horizontal="center" vertical="center"/>
    </xf>
    <xf numFmtId="0" fontId="5" fillId="17" borderId="24" xfId="0" applyFont="1" applyFill="1" applyBorder="1" applyAlignment="1">
      <alignment horizontal="center" vertical="center" wrapText="1"/>
    </xf>
    <xf numFmtId="0" fontId="5" fillId="14" borderId="24" xfId="0" applyFont="1" applyFill="1" applyBorder="1" applyAlignment="1">
      <alignment horizontal="left" vertical="center"/>
    </xf>
    <xf numFmtId="0" fontId="5" fillId="14" borderId="24" xfId="0" applyFont="1" applyFill="1" applyBorder="1" applyAlignment="1">
      <alignment vertical="center"/>
    </xf>
    <xf numFmtId="164" fontId="5" fillId="14" borderId="24" xfId="1" applyNumberFormat="1" applyFont="1" applyFill="1" applyBorder="1" applyAlignment="1">
      <alignment vertical="center"/>
    </xf>
    <xf numFmtId="164" fontId="5" fillId="14" borderId="24" xfId="0" applyNumberFormat="1" applyFont="1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5" fillId="18" borderId="24" xfId="0" applyFont="1" applyFill="1" applyBorder="1" applyAlignment="1">
      <alignment vertical="center"/>
    </xf>
    <xf numFmtId="164" fontId="5" fillId="18" borderId="24" xfId="1" applyNumberFormat="1" applyFont="1" applyFill="1" applyBorder="1" applyAlignment="1">
      <alignment vertical="center"/>
    </xf>
    <xf numFmtId="164" fontId="5" fillId="18" borderId="24" xfId="0" applyNumberFormat="1" applyFont="1" applyFill="1" applyBorder="1" applyAlignment="1">
      <alignment vertical="center"/>
    </xf>
    <xf numFmtId="0" fontId="5" fillId="21" borderId="24" xfId="0" applyFont="1" applyFill="1" applyBorder="1" applyAlignment="1">
      <alignment horizontal="left" vertical="center"/>
    </xf>
    <xf numFmtId="0" fontId="5" fillId="21" borderId="24" xfId="0" applyFont="1" applyFill="1" applyBorder="1" applyAlignment="1">
      <alignment vertical="center"/>
    </xf>
    <xf numFmtId="164" fontId="5" fillId="21" borderId="24" xfId="1" applyNumberFormat="1" applyFont="1" applyFill="1" applyBorder="1" applyAlignment="1">
      <alignment vertical="center"/>
    </xf>
    <xf numFmtId="171" fontId="0" fillId="9" borderId="24" xfId="2" applyNumberFormat="1" applyFont="1" applyFill="1" applyBorder="1" applyAlignment="1">
      <alignment vertical="center"/>
    </xf>
    <xf numFmtId="0" fontId="5" fillId="7" borderId="24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vertical="center"/>
    </xf>
    <xf numFmtId="164" fontId="5" fillId="7" borderId="24" xfId="1" applyNumberFormat="1" applyFont="1" applyFill="1" applyBorder="1" applyAlignment="1">
      <alignment vertical="center"/>
    </xf>
    <xf numFmtId="164" fontId="5" fillId="7" borderId="24" xfId="2" applyNumberFormat="1" applyFont="1" applyFill="1" applyBorder="1" applyAlignment="1">
      <alignment vertical="center"/>
    </xf>
    <xf numFmtId="0" fontId="0" fillId="25" borderId="24" xfId="0" applyFill="1" applyBorder="1" applyAlignment="1">
      <alignment vertical="center"/>
    </xf>
    <xf numFmtId="171" fontId="0" fillId="25" borderId="24" xfId="2" applyNumberFormat="1" applyFont="1" applyFill="1" applyBorder="1" applyAlignment="1">
      <alignment vertical="center"/>
    </xf>
    <xf numFmtId="0" fontId="5" fillId="19" borderId="24" xfId="0" applyFont="1" applyFill="1" applyBorder="1" applyAlignment="1">
      <alignment horizontal="left" vertical="center"/>
    </xf>
    <xf numFmtId="0" fontId="5" fillId="19" borderId="24" xfId="0" applyFont="1" applyFill="1" applyBorder="1" applyAlignment="1">
      <alignment vertical="center"/>
    </xf>
    <xf numFmtId="164" fontId="5" fillId="19" borderId="24" xfId="1" applyNumberFormat="1" applyFont="1" applyFill="1" applyBorder="1" applyAlignment="1">
      <alignment vertical="center"/>
    </xf>
    <xf numFmtId="171" fontId="5" fillId="19" borderId="24" xfId="2" applyNumberFormat="1" applyFont="1" applyFill="1" applyBorder="1" applyAlignment="1">
      <alignment vertical="center"/>
    </xf>
    <xf numFmtId="164" fontId="0" fillId="25" borderId="24" xfId="2" applyNumberFormat="1" applyFont="1" applyFill="1" applyBorder="1" applyAlignment="1">
      <alignment vertical="center"/>
    </xf>
    <xf numFmtId="0" fontId="0" fillId="23" borderId="24" xfId="0" applyFill="1" applyBorder="1" applyAlignment="1">
      <alignment vertical="center"/>
    </xf>
    <xf numFmtId="164" fontId="0" fillId="23" borderId="24" xfId="1" applyNumberFormat="1" applyFont="1" applyFill="1" applyBorder="1" applyAlignment="1">
      <alignment vertical="center"/>
    </xf>
    <xf numFmtId="164" fontId="5" fillId="7" borderId="24" xfId="0" applyNumberFormat="1" applyFont="1" applyFill="1" applyBorder="1" applyAlignment="1">
      <alignment vertical="center"/>
    </xf>
    <xf numFmtId="9" fontId="5" fillId="21" borderId="24" xfId="2" applyFont="1" applyFill="1" applyBorder="1" applyAlignment="1">
      <alignment vertical="center"/>
    </xf>
    <xf numFmtId="0" fontId="0" fillId="27" borderId="24" xfId="0" applyFill="1" applyBorder="1" applyAlignment="1">
      <alignment vertical="center"/>
    </xf>
    <xf numFmtId="164" fontId="0" fillId="27" borderId="24" xfId="1" applyNumberFormat="1" applyFont="1" applyFill="1" applyBorder="1" applyAlignment="1">
      <alignment vertical="center"/>
    </xf>
    <xf numFmtId="0" fontId="0" fillId="28" borderId="24" xfId="0" applyFill="1" applyBorder="1" applyAlignment="1">
      <alignment vertical="center"/>
    </xf>
    <xf numFmtId="164" fontId="0" fillId="28" borderId="24" xfId="2" applyNumberFormat="1" applyFont="1" applyFill="1" applyBorder="1" applyAlignment="1">
      <alignment vertical="center"/>
    </xf>
    <xf numFmtId="171" fontId="0" fillId="28" borderId="24" xfId="2" applyNumberFormat="1" applyFont="1" applyFill="1" applyBorder="1" applyAlignment="1">
      <alignment vertical="center"/>
    </xf>
    <xf numFmtId="0" fontId="0" fillId="0" borderId="24" xfId="0" applyBorder="1" applyAlignment="1">
      <alignment horizontal="right" vertical="center"/>
    </xf>
    <xf numFmtId="164" fontId="0" fillId="28" borderId="24" xfId="0" applyNumberFormat="1" applyFill="1" applyBorder="1" applyAlignment="1">
      <alignment vertical="center"/>
    </xf>
    <xf numFmtId="0" fontId="13" fillId="28" borderId="24" xfId="0" applyFont="1" applyFill="1" applyBorder="1" applyAlignment="1">
      <alignment vertical="center"/>
    </xf>
    <xf numFmtId="164" fontId="13" fillId="28" borderId="24" xfId="2" applyNumberFormat="1" applyFont="1" applyFill="1" applyBorder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24" fillId="0" borderId="0" xfId="0" applyFont="1"/>
    <xf numFmtId="0" fontId="25" fillId="0" borderId="0" xfId="0" applyFont="1"/>
    <xf numFmtId="0" fontId="9" fillId="9" borderId="24" xfId="0" applyFont="1" applyFill="1" applyBorder="1" applyAlignment="1">
      <alignment vertical="center"/>
    </xf>
    <xf numFmtId="164" fontId="9" fillId="9" borderId="24" xfId="1" applyNumberFormat="1" applyFont="1" applyFill="1" applyBorder="1" applyAlignment="1">
      <alignment vertical="center"/>
    </xf>
    <xf numFmtId="164" fontId="8" fillId="7" borderId="24" xfId="1" applyNumberFormat="1" applyFont="1" applyFill="1" applyBorder="1" applyAlignment="1">
      <alignment vertical="center"/>
    </xf>
    <xf numFmtId="0" fontId="8" fillId="19" borderId="24" xfId="0" applyFont="1" applyFill="1" applyBorder="1" applyAlignment="1">
      <alignment vertical="center"/>
    </xf>
    <xf numFmtId="164" fontId="9" fillId="8" borderId="24" xfId="1" applyNumberFormat="1" applyFont="1" applyFill="1" applyBorder="1" applyAlignment="1">
      <alignment vertical="center"/>
    </xf>
    <xf numFmtId="0" fontId="9" fillId="8" borderId="24" xfId="0" applyFont="1" applyFill="1" applyBorder="1" applyAlignment="1">
      <alignment vertical="center"/>
    </xf>
    <xf numFmtId="164" fontId="7" fillId="8" borderId="24" xfId="1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vertical="center"/>
    </xf>
    <xf numFmtId="167" fontId="5" fillId="7" borderId="12" xfId="1" applyNumberFormat="1" applyFont="1" applyFill="1" applyBorder="1" applyAlignment="1">
      <alignment vertical="center"/>
    </xf>
    <xf numFmtId="9" fontId="26" fillId="7" borderId="12" xfId="2" applyFont="1" applyFill="1" applyBorder="1" applyAlignment="1">
      <alignment vertical="center"/>
    </xf>
    <xf numFmtId="0" fontId="0" fillId="28" borderId="10" xfId="0" applyFont="1" applyFill="1" applyBorder="1" applyAlignment="1">
      <alignment horizontal="center" vertical="center"/>
    </xf>
    <xf numFmtId="0" fontId="0" fillId="28" borderId="11" xfId="0" applyFont="1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167" fontId="4" fillId="28" borderId="12" xfId="1" applyNumberFormat="1" applyFont="1" applyFill="1" applyBorder="1" applyAlignment="1">
      <alignment vertical="center"/>
    </xf>
    <xf numFmtId="164" fontId="9" fillId="28" borderId="12" xfId="1" applyNumberFormat="1" applyFont="1" applyFill="1" applyBorder="1" applyAlignment="1">
      <alignment vertical="center"/>
    </xf>
    <xf numFmtId="9" fontId="9" fillId="28" borderId="12" xfId="2" applyFont="1" applyFill="1" applyBorder="1" applyAlignment="1">
      <alignment vertical="center"/>
    </xf>
    <xf numFmtId="167" fontId="5" fillId="18" borderId="12" xfId="0" applyNumberFormat="1" applyFont="1" applyFill="1" applyBorder="1" applyAlignment="1">
      <alignment horizontal="center" vertical="center"/>
    </xf>
    <xf numFmtId="167" fontId="5" fillId="21" borderId="12" xfId="0" applyNumberFormat="1" applyFont="1" applyFill="1" applyBorder="1" applyAlignment="1">
      <alignment horizontal="center" vertical="center"/>
    </xf>
    <xf numFmtId="0" fontId="5" fillId="21" borderId="27" xfId="0" applyFont="1" applyFill="1" applyBorder="1" applyAlignment="1">
      <alignment vertical="center"/>
    </xf>
    <xf numFmtId="164" fontId="12" fillId="21" borderId="12" xfId="1" applyNumberFormat="1" applyFont="1" applyFill="1" applyBorder="1" applyAlignment="1">
      <alignment horizontal="center" vertical="center" wrapText="1"/>
    </xf>
    <xf numFmtId="9" fontId="12" fillId="21" borderId="12" xfId="2" applyFont="1" applyFill="1" applyBorder="1" applyAlignment="1">
      <alignment horizontal="right" vertical="center" wrapText="1"/>
    </xf>
    <xf numFmtId="0" fontId="0" fillId="12" borderId="10" xfId="0" applyFont="1" applyFill="1" applyBorder="1" applyAlignment="1">
      <alignment horizontal="center" vertical="center"/>
    </xf>
    <xf numFmtId="0" fontId="0" fillId="12" borderId="11" xfId="0" applyFill="1" applyBorder="1" applyAlignment="1">
      <alignment vertical="center"/>
    </xf>
    <xf numFmtId="0" fontId="0" fillId="12" borderId="11" xfId="0" applyFont="1" applyFill="1" applyBorder="1" applyAlignment="1">
      <alignment vertical="center"/>
    </xf>
    <xf numFmtId="167" fontId="4" fillId="12" borderId="12" xfId="1" applyNumberFormat="1" applyFont="1" applyFill="1" applyBorder="1" applyAlignment="1">
      <alignment vertical="center"/>
    </xf>
    <xf numFmtId="164" fontId="8" fillId="12" borderId="12" xfId="1" applyNumberFormat="1" applyFont="1" applyFill="1" applyBorder="1" applyAlignment="1">
      <alignment vertical="center"/>
    </xf>
    <xf numFmtId="9" fontId="8" fillId="12" borderId="12" xfId="2" applyFont="1" applyFill="1" applyBorder="1" applyAlignment="1">
      <alignment vertical="center"/>
    </xf>
    <xf numFmtId="167" fontId="14" fillId="18" borderId="12" xfId="1" applyNumberFormat="1" applyFont="1" applyFill="1" applyBorder="1" applyAlignment="1">
      <alignment horizontal="center" vertical="center" wrapText="1"/>
    </xf>
    <xf numFmtId="0" fontId="5" fillId="18" borderId="26" xfId="0" applyFont="1" applyFill="1" applyBorder="1" applyAlignment="1">
      <alignment vertical="center"/>
    </xf>
    <xf numFmtId="164" fontId="12" fillId="18" borderId="12" xfId="1" applyNumberFormat="1" applyFont="1" applyFill="1" applyBorder="1" applyAlignment="1">
      <alignment horizontal="center" vertical="center" wrapText="1"/>
    </xf>
    <xf numFmtId="9" fontId="12" fillId="18" borderId="12" xfId="2" applyFont="1" applyFill="1" applyBorder="1" applyAlignment="1">
      <alignment horizontal="right" vertical="center" wrapText="1"/>
    </xf>
    <xf numFmtId="0" fontId="13" fillId="23" borderId="18" xfId="0" applyFont="1" applyFill="1" applyBorder="1" applyAlignment="1">
      <alignment horizontal="center" vertical="center"/>
    </xf>
    <xf numFmtId="0" fontId="5" fillId="23" borderId="14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left" vertical="center"/>
    </xf>
    <xf numFmtId="167" fontId="13" fillId="23" borderId="12" xfId="1" applyNumberFormat="1" applyFont="1" applyFill="1" applyBorder="1" applyAlignment="1">
      <alignment vertical="center"/>
    </xf>
    <xf numFmtId="167" fontId="15" fillId="23" borderId="12" xfId="1" applyNumberFormat="1" applyFont="1" applyFill="1" applyBorder="1" applyAlignment="1">
      <alignment horizontal="center" vertical="center" wrapText="1"/>
    </xf>
    <xf numFmtId="164" fontId="11" fillId="23" borderId="12" xfId="1" applyNumberFormat="1" applyFont="1" applyFill="1" applyBorder="1" applyAlignment="1">
      <alignment horizontal="center" vertical="center" wrapText="1"/>
    </xf>
    <xf numFmtId="9" fontId="9" fillId="23" borderId="12" xfId="2" applyFont="1" applyFill="1" applyBorder="1" applyAlignment="1">
      <alignment vertical="center"/>
    </xf>
    <xf numFmtId="164" fontId="12" fillId="23" borderId="12" xfId="1" applyNumberFormat="1" applyFont="1" applyFill="1" applyBorder="1" applyAlignment="1">
      <alignment horizontal="center" vertical="center" wrapText="1"/>
    </xf>
    <xf numFmtId="0" fontId="0" fillId="23" borderId="13" xfId="0" applyFill="1" applyBorder="1" applyAlignment="1">
      <alignment horizontal="left" vertical="center"/>
    </xf>
    <xf numFmtId="164" fontId="0" fillId="24" borderId="24" xfId="0" applyNumberFormat="1" applyFill="1" applyBorder="1" applyAlignment="1">
      <alignment vertical="center"/>
    </xf>
    <xf numFmtId="0" fontId="13" fillId="27" borderId="24" xfId="0" applyFont="1" applyFill="1" applyBorder="1" applyAlignment="1">
      <alignment horizontal="center" vertical="center"/>
    </xf>
    <xf numFmtId="0" fontId="5" fillId="18" borderId="24" xfId="0" applyFont="1" applyFill="1" applyBorder="1" applyAlignment="1">
      <alignment horizontal="left" vertical="center"/>
    </xf>
    <xf numFmtId="0" fontId="13" fillId="23" borderId="24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28" borderId="24" xfId="0" applyFill="1" applyBorder="1" applyAlignment="1">
      <alignment horizontal="center" vertical="center"/>
    </xf>
    <xf numFmtId="0" fontId="13" fillId="28" borderId="24" xfId="0" applyFont="1" applyFill="1" applyBorder="1" applyAlignment="1">
      <alignment horizontal="center" vertical="center"/>
    </xf>
    <xf numFmtId="0" fontId="13" fillId="25" borderId="24" xfId="0" applyFont="1" applyFill="1" applyBorder="1" applyAlignment="1">
      <alignment horizontal="center" vertical="center"/>
    </xf>
    <xf numFmtId="0" fontId="13" fillId="24" borderId="24" xfId="0" applyFont="1" applyFill="1" applyBorder="1" applyAlignment="1">
      <alignment horizontal="center" vertical="center"/>
    </xf>
    <xf numFmtId="0" fontId="5" fillId="14" borderId="0" xfId="0" applyFont="1" applyFill="1"/>
    <xf numFmtId="164" fontId="5" fillId="14" borderId="0" xfId="0" applyNumberFormat="1" applyFont="1" applyFill="1"/>
    <xf numFmtId="0" fontId="5" fillId="21" borderId="0" xfId="0" applyFont="1" applyFill="1"/>
    <xf numFmtId="164" fontId="5" fillId="21" borderId="0" xfId="0" applyNumberFormat="1" applyFont="1" applyFill="1"/>
    <xf numFmtId="0" fontId="22" fillId="16" borderId="0" xfId="0" applyFont="1" applyFill="1"/>
    <xf numFmtId="164" fontId="22" fillId="16" borderId="0" xfId="0" applyNumberFormat="1" applyFont="1" applyFill="1"/>
    <xf numFmtId="0" fontId="22" fillId="22" borderId="0" xfId="0" applyFont="1" applyFill="1"/>
    <xf numFmtId="164" fontId="22" fillId="22" borderId="0" xfId="0" applyNumberFormat="1" applyFont="1" applyFill="1"/>
    <xf numFmtId="0" fontId="5" fillId="19" borderId="0" xfId="0" applyFont="1" applyFill="1" applyAlignment="1">
      <alignment vertical="center"/>
    </xf>
    <xf numFmtId="164" fontId="5" fillId="19" borderId="0" xfId="0" applyNumberFormat="1" applyFont="1" applyFill="1" applyAlignment="1">
      <alignment vertical="center"/>
    </xf>
    <xf numFmtId="0" fontId="6" fillId="20" borderId="0" xfId="0" applyFont="1" applyFill="1" applyAlignment="1">
      <alignment vertical="center"/>
    </xf>
    <xf numFmtId="164" fontId="6" fillId="20" borderId="0" xfId="1" applyNumberFormat="1" applyFont="1" applyFill="1" applyAlignment="1">
      <alignment vertical="center"/>
    </xf>
    <xf numFmtId="0" fontId="6" fillId="26" borderId="0" xfId="0" applyFont="1" applyFill="1" applyAlignment="1">
      <alignment vertical="center"/>
    </xf>
    <xf numFmtId="164" fontId="8" fillId="8" borderId="0" xfId="1" applyNumberFormat="1" applyFont="1" applyFill="1" applyAlignment="1">
      <alignment vertical="center"/>
    </xf>
    <xf numFmtId="164" fontId="6" fillId="26" borderId="0" xfId="1" applyNumberFormat="1" applyFont="1" applyFill="1" applyAlignment="1">
      <alignment vertical="center"/>
    </xf>
    <xf numFmtId="0" fontId="0" fillId="0" borderId="30" xfId="0" applyBorder="1" applyAlignment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164" fontId="31" fillId="14" borderId="31" xfId="1" applyNumberFormat="1" applyFont="1" applyFill="1" applyBorder="1" applyAlignment="1">
      <alignment vertical="center"/>
    </xf>
    <xf numFmtId="164" fontId="0" fillId="27" borderId="30" xfId="1" applyNumberFormat="1" applyFont="1" applyFill="1" applyBorder="1" applyAlignment="1">
      <alignment vertical="center"/>
    </xf>
    <xf numFmtId="164" fontId="0" fillId="27" borderId="31" xfId="1" applyNumberFormat="1" applyFont="1" applyFill="1" applyBorder="1" applyAlignment="1">
      <alignment vertical="center"/>
    </xf>
    <xf numFmtId="164" fontId="31" fillId="18" borderId="30" xfId="1" applyNumberFormat="1" applyFont="1" applyFill="1" applyBorder="1" applyAlignment="1">
      <alignment vertical="center"/>
    </xf>
    <xf numFmtId="164" fontId="31" fillId="18" borderId="31" xfId="1" applyNumberFormat="1" applyFont="1" applyFill="1" applyBorder="1" applyAlignment="1">
      <alignment vertical="center"/>
    </xf>
    <xf numFmtId="164" fontId="0" fillId="23" borderId="30" xfId="1" applyNumberFormat="1" applyFont="1" applyFill="1" applyBorder="1" applyAlignment="1">
      <alignment vertical="center"/>
    </xf>
    <xf numFmtId="164" fontId="0" fillId="23" borderId="31" xfId="1" applyNumberFormat="1" applyFont="1" applyFill="1" applyBorder="1" applyAlignment="1">
      <alignment vertical="center"/>
    </xf>
    <xf numFmtId="164" fontId="31" fillId="21" borderId="30" xfId="1" applyNumberFormat="1" applyFont="1" applyFill="1" applyBorder="1" applyAlignment="1">
      <alignment vertical="center"/>
    </xf>
    <xf numFmtId="164" fontId="31" fillId="21" borderId="31" xfId="1" applyNumberFormat="1" applyFont="1" applyFill="1" applyBorder="1" applyAlignment="1">
      <alignment vertical="center"/>
    </xf>
    <xf numFmtId="164" fontId="0" fillId="0" borderId="30" xfId="1" applyNumberFormat="1" applyFont="1" applyBorder="1" applyAlignment="1">
      <alignment vertical="center"/>
    </xf>
    <xf numFmtId="164" fontId="0" fillId="0" borderId="31" xfId="1" applyNumberFormat="1" applyFont="1" applyFill="1" applyBorder="1" applyAlignment="1">
      <alignment vertical="center"/>
    </xf>
    <xf numFmtId="164" fontId="0" fillId="0" borderId="30" xfId="1" applyNumberFormat="1" applyFont="1" applyFill="1" applyBorder="1" applyAlignment="1">
      <alignment vertical="center"/>
    </xf>
    <xf numFmtId="164" fontId="5" fillId="7" borderId="30" xfId="1" applyNumberFormat="1" applyFont="1" applyFill="1" applyBorder="1" applyAlignment="1">
      <alignment vertical="center"/>
    </xf>
    <xf numFmtId="164" fontId="5" fillId="7" borderId="31" xfId="1" applyNumberFormat="1" applyFont="1" applyFill="1" applyBorder="1" applyAlignment="1">
      <alignment vertical="center"/>
    </xf>
    <xf numFmtId="0" fontId="29" fillId="28" borderId="29" xfId="0" applyFont="1" applyFill="1" applyBorder="1" applyAlignment="1">
      <alignment vertical="center"/>
    </xf>
    <xf numFmtId="164" fontId="0" fillId="28" borderId="30" xfId="1" applyNumberFormat="1" applyFont="1" applyFill="1" applyBorder="1" applyAlignment="1">
      <alignment vertical="center"/>
    </xf>
    <xf numFmtId="164" fontId="0" fillId="28" borderId="31" xfId="1" applyNumberFormat="1" applyFont="1" applyFill="1" applyBorder="1" applyAlignment="1">
      <alignment vertical="center"/>
    </xf>
    <xf numFmtId="0" fontId="30" fillId="13" borderId="29" xfId="0" applyFont="1" applyFill="1" applyBorder="1" applyAlignment="1">
      <alignment vertical="center"/>
    </xf>
    <xf numFmtId="164" fontId="0" fillId="13" borderId="30" xfId="1" applyNumberFormat="1" applyFont="1" applyFill="1" applyBorder="1" applyAlignment="1">
      <alignment vertical="center"/>
    </xf>
    <xf numFmtId="164" fontId="13" fillId="13" borderId="31" xfId="1" applyNumberFormat="1" applyFont="1" applyFill="1" applyBorder="1" applyAlignment="1">
      <alignment vertical="center"/>
    </xf>
    <xf numFmtId="0" fontId="28" fillId="14" borderId="30" xfId="0" applyFont="1" applyFill="1" applyBorder="1" applyAlignment="1">
      <alignment horizontal="left" vertical="center"/>
    </xf>
    <xf numFmtId="164" fontId="31" fillId="14" borderId="30" xfId="0" applyNumberFormat="1" applyFont="1" applyFill="1" applyBorder="1" applyAlignment="1">
      <alignment vertical="center"/>
    </xf>
    <xf numFmtId="0" fontId="28" fillId="21" borderId="30" xfId="0" applyFont="1" applyFill="1" applyBorder="1" applyAlignment="1">
      <alignment horizontal="left" vertical="center"/>
    </xf>
    <xf numFmtId="164" fontId="31" fillId="21" borderId="30" xfId="0" applyNumberFormat="1" applyFont="1" applyFill="1" applyBorder="1" applyAlignment="1">
      <alignment vertical="center"/>
    </xf>
    <xf numFmtId="0" fontId="28" fillId="14" borderId="30" xfId="0" applyFont="1" applyFill="1" applyBorder="1" applyAlignment="1">
      <alignment vertical="center"/>
    </xf>
    <xf numFmtId="164" fontId="0" fillId="27" borderId="33" xfId="1" applyNumberFormat="1" applyFont="1" applyFill="1" applyBorder="1" applyAlignment="1">
      <alignment vertical="center"/>
    </xf>
    <xf numFmtId="0" fontId="29" fillId="27" borderId="30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6" borderId="17" xfId="0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164" fontId="0" fillId="27" borderId="30" xfId="1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164" fontId="31" fillId="14" borderId="36" xfId="1" applyNumberFormat="1" applyFont="1" applyFill="1" applyBorder="1" applyAlignment="1">
      <alignment vertical="center"/>
    </xf>
    <xf numFmtId="164" fontId="31" fillId="14" borderId="37" xfId="1" applyNumberFormat="1" applyFont="1" applyFill="1" applyBorder="1" applyAlignment="1">
      <alignment vertical="center"/>
    </xf>
    <xf numFmtId="0" fontId="6" fillId="26" borderId="0" xfId="0" applyFont="1" applyFill="1" applyAlignment="1">
      <alignment horizontal="center" vertical="center"/>
    </xf>
    <xf numFmtId="164" fontId="0" fillId="27" borderId="24" xfId="0" applyNumberFormat="1" applyFill="1" applyBorder="1" applyAlignment="1">
      <alignment vertical="center"/>
    </xf>
    <xf numFmtId="164" fontId="0" fillId="28" borderId="24" xfId="1" applyNumberFormat="1" applyFont="1" applyFill="1" applyBorder="1" applyAlignment="1">
      <alignment vertical="center"/>
    </xf>
    <xf numFmtId="164" fontId="13" fillId="28" borderId="24" xfId="1" applyNumberFormat="1" applyFont="1" applyFill="1" applyBorder="1" applyAlignment="1">
      <alignment vertical="center"/>
    </xf>
    <xf numFmtId="0" fontId="5" fillId="29" borderId="24" xfId="0" applyFont="1" applyFill="1" applyBorder="1" applyAlignment="1">
      <alignment horizontal="center" vertical="center" wrapText="1"/>
    </xf>
    <xf numFmtId="164" fontId="5" fillId="29" borderId="0" xfId="0" applyNumberFormat="1" applyFont="1" applyFill="1" applyAlignment="1">
      <alignment vertical="center"/>
    </xf>
    <xf numFmtId="164" fontId="4" fillId="12" borderId="30" xfId="1" applyNumberFormat="1" applyFont="1" applyFill="1" applyBorder="1" applyAlignment="1">
      <alignment vertical="center"/>
    </xf>
    <xf numFmtId="164" fontId="4" fillId="12" borderId="31" xfId="1" applyNumberFormat="1" applyFont="1" applyFill="1" applyBorder="1" applyAlignment="1">
      <alignment vertical="center"/>
    </xf>
    <xf numFmtId="164" fontId="4" fillId="0" borderId="30" xfId="1" applyNumberFormat="1" applyFont="1" applyBorder="1" applyAlignment="1">
      <alignment vertical="center"/>
    </xf>
    <xf numFmtId="164" fontId="4" fillId="0" borderId="31" xfId="1" applyNumberFormat="1" applyFont="1" applyFill="1" applyBorder="1" applyAlignment="1">
      <alignment vertical="center"/>
    </xf>
    <xf numFmtId="0" fontId="19" fillId="14" borderId="28" xfId="0" applyFont="1" applyFill="1" applyBorder="1" applyAlignment="1">
      <alignment vertical="center"/>
    </xf>
    <xf numFmtId="0" fontId="19" fillId="18" borderId="28" xfId="0" applyFont="1" applyFill="1" applyBorder="1" applyAlignment="1">
      <alignment vertical="center"/>
    </xf>
    <xf numFmtId="0" fontId="19" fillId="21" borderId="28" xfId="0" applyFont="1" applyFill="1" applyBorder="1" applyAlignment="1">
      <alignment vertical="center"/>
    </xf>
    <xf numFmtId="0" fontId="19" fillId="14" borderId="35" xfId="0" applyFont="1" applyFill="1" applyBorder="1" applyAlignment="1">
      <alignment vertical="center"/>
    </xf>
    <xf numFmtId="0" fontId="19" fillId="14" borderId="38" xfId="0" applyFont="1" applyFill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9" fillId="27" borderId="28" xfId="0" applyFont="1" applyFill="1" applyBorder="1" applyAlignment="1">
      <alignment horizontal="left" vertical="center"/>
    </xf>
    <xf numFmtId="0" fontId="41" fillId="23" borderId="28" xfId="0" applyFont="1" applyFill="1" applyBorder="1" applyAlignment="1">
      <alignment horizontal="left" vertical="center"/>
    </xf>
    <xf numFmtId="0" fontId="39" fillId="12" borderId="28" xfId="0" applyFont="1" applyFill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19" fillId="7" borderId="28" xfId="0" applyFont="1" applyFill="1" applyBorder="1" applyAlignment="1">
      <alignment horizontal="left" vertical="center"/>
    </xf>
    <xf numFmtId="0" fontId="39" fillId="28" borderId="28" xfId="0" applyFont="1" applyFill="1" applyBorder="1" applyAlignment="1">
      <alignment horizontal="left" vertical="center"/>
    </xf>
    <xf numFmtId="49" fontId="41" fillId="13" borderId="28" xfId="0" applyNumberFormat="1" applyFont="1" applyFill="1" applyBorder="1" applyAlignment="1">
      <alignment vertical="center"/>
    </xf>
    <xf numFmtId="0" fontId="39" fillId="27" borderId="28" xfId="0" applyFont="1" applyFill="1" applyBorder="1" applyAlignment="1">
      <alignment vertical="center"/>
    </xf>
    <xf numFmtId="0" fontId="39" fillId="27" borderId="34" xfId="0" applyFont="1" applyFill="1" applyBorder="1" applyAlignment="1">
      <alignment horizontal="left" vertical="center"/>
    </xf>
    <xf numFmtId="0" fontId="38" fillId="27" borderId="29" xfId="0" applyFont="1" applyFill="1" applyBorder="1" applyAlignment="1">
      <alignment horizontal="right" vertical="center"/>
    </xf>
    <xf numFmtId="0" fontId="36" fillId="14" borderId="32" xfId="0" applyFont="1" applyFill="1" applyBorder="1" applyAlignment="1">
      <alignment vertical="center"/>
    </xf>
    <xf numFmtId="0" fontId="36" fillId="18" borderId="29" xfId="0" applyFont="1" applyFill="1" applyBorder="1" applyAlignment="1">
      <alignment vertical="center"/>
    </xf>
    <xf numFmtId="0" fontId="42" fillId="23" borderId="29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6" fillId="21" borderId="29" xfId="0" applyFont="1" applyFill="1" applyBorder="1" applyAlignment="1">
      <alignment vertical="center"/>
    </xf>
    <xf numFmtId="0" fontId="38" fillId="12" borderId="29" xfId="0" applyFont="1" applyFill="1" applyBorder="1" applyAlignment="1">
      <alignment horizontal="right" vertical="center"/>
    </xf>
    <xf numFmtId="0" fontId="38" fillId="0" borderId="29" xfId="0" applyFont="1" applyBorder="1" applyAlignment="1">
      <alignment horizontal="right" vertical="center"/>
    </xf>
    <xf numFmtId="0" fontId="38" fillId="0" borderId="29" xfId="0" applyFont="1" applyBorder="1" applyAlignment="1">
      <alignment vertical="center"/>
    </xf>
    <xf numFmtId="0" fontId="36" fillId="7" borderId="29" xfId="0" applyFont="1" applyFill="1" applyBorder="1" applyAlignment="1">
      <alignment vertical="center"/>
    </xf>
    <xf numFmtId="0" fontId="37" fillId="14" borderId="39" xfId="0" applyFont="1" applyFill="1" applyBorder="1" applyAlignment="1">
      <alignment vertical="center"/>
    </xf>
    <xf numFmtId="0" fontId="37" fillId="14" borderId="40" xfId="0" applyFont="1" applyFill="1" applyBorder="1" applyAlignment="1">
      <alignment vertical="center"/>
    </xf>
    <xf numFmtId="0" fontId="37" fillId="14" borderId="41" xfId="0" applyFont="1" applyFill="1" applyBorder="1" applyAlignment="1">
      <alignment vertical="center"/>
    </xf>
    <xf numFmtId="164" fontId="35" fillId="14" borderId="36" xfId="1" applyNumberFormat="1" applyFont="1" applyFill="1" applyBorder="1" applyAlignment="1">
      <alignment vertical="center"/>
    </xf>
    <xf numFmtId="164" fontId="35" fillId="14" borderId="37" xfId="1" applyNumberFormat="1" applyFont="1" applyFill="1" applyBorder="1" applyAlignment="1">
      <alignment vertical="center"/>
    </xf>
    <xf numFmtId="0" fontId="40" fillId="14" borderId="38" xfId="0" applyFont="1" applyFill="1" applyBorder="1" applyAlignment="1">
      <alignment vertical="center"/>
    </xf>
    <xf numFmtId="0" fontId="5" fillId="14" borderId="25" xfId="0" applyFont="1" applyFill="1" applyBorder="1" applyAlignment="1">
      <alignment vertical="center"/>
    </xf>
    <xf numFmtId="0" fontId="0" fillId="27" borderId="25" xfId="0" applyFill="1" applyBorder="1" applyAlignment="1">
      <alignment vertical="center"/>
    </xf>
    <xf numFmtId="0" fontId="5" fillId="18" borderId="25" xfId="0" applyFont="1" applyFill="1" applyBorder="1" applyAlignment="1">
      <alignment vertical="center"/>
    </xf>
    <xf numFmtId="0" fontId="0" fillId="23" borderId="25" xfId="0" applyFill="1" applyBorder="1" applyAlignment="1">
      <alignment vertical="center"/>
    </xf>
    <xf numFmtId="0" fontId="5" fillId="21" borderId="25" xfId="0" applyFont="1" applyFill="1" applyBorder="1" applyAlignment="1">
      <alignment vertical="center"/>
    </xf>
    <xf numFmtId="0" fontId="0" fillId="9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0" fillId="28" borderId="25" xfId="0" applyFill="1" applyBorder="1" applyAlignment="1">
      <alignment vertical="center"/>
    </xf>
    <xf numFmtId="0" fontId="13" fillId="28" borderId="25" xfId="0" applyFont="1" applyFill="1" applyBorder="1" applyAlignment="1">
      <alignment vertical="center"/>
    </xf>
    <xf numFmtId="0" fontId="5" fillId="19" borderId="25" xfId="0" applyFont="1" applyFill="1" applyBorder="1" applyAlignment="1">
      <alignment vertical="center"/>
    </xf>
    <xf numFmtId="0" fontId="0" fillId="25" borderId="25" xfId="0" applyFill="1" applyBorder="1" applyAlignment="1">
      <alignment vertical="center"/>
    </xf>
    <xf numFmtId="0" fontId="0" fillId="24" borderId="25" xfId="0" applyFont="1" applyFill="1" applyBorder="1" applyAlignment="1">
      <alignment vertical="center"/>
    </xf>
    <xf numFmtId="0" fontId="0" fillId="24" borderId="25" xfId="0" applyFill="1" applyBorder="1" applyAlignment="1">
      <alignment vertical="center"/>
    </xf>
    <xf numFmtId="0" fontId="5" fillId="14" borderId="20" xfId="0" applyFont="1" applyFill="1" applyBorder="1" applyAlignment="1">
      <alignment vertical="center"/>
    </xf>
    <xf numFmtId="0" fontId="0" fillId="27" borderId="20" xfId="0" applyFill="1" applyBorder="1" applyAlignment="1">
      <alignment vertical="center"/>
    </xf>
    <xf numFmtId="0" fontId="5" fillId="18" borderId="20" xfId="0" applyFont="1" applyFill="1" applyBorder="1" applyAlignment="1">
      <alignment vertical="center"/>
    </xf>
    <xf numFmtId="0" fontId="0" fillId="23" borderId="20" xfId="0" applyFill="1" applyBorder="1" applyAlignment="1">
      <alignment vertical="center"/>
    </xf>
    <xf numFmtId="0" fontId="5" fillId="21" borderId="20" xfId="0" applyFont="1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0" fontId="0" fillId="28" borderId="20" xfId="0" applyFill="1" applyBorder="1" applyAlignment="1">
      <alignment vertical="center"/>
    </xf>
    <xf numFmtId="0" fontId="13" fillId="28" borderId="20" xfId="0" applyFont="1" applyFill="1" applyBorder="1" applyAlignment="1">
      <alignment vertical="center"/>
    </xf>
    <xf numFmtId="0" fontId="5" fillId="19" borderId="20" xfId="0" applyFont="1" applyFill="1" applyBorder="1" applyAlignment="1">
      <alignment vertical="center"/>
    </xf>
    <xf numFmtId="0" fontId="0" fillId="25" borderId="20" xfId="0" applyFill="1" applyBorder="1" applyAlignment="1">
      <alignment vertical="center"/>
    </xf>
    <xf numFmtId="0" fontId="0" fillId="24" borderId="20" xfId="0" applyFill="1" applyBorder="1" applyAlignment="1">
      <alignment vertical="center"/>
    </xf>
    <xf numFmtId="0" fontId="5" fillId="17" borderId="20" xfId="0" applyFont="1" applyFill="1" applyBorder="1" applyAlignment="1">
      <alignment horizontal="center" vertical="center"/>
    </xf>
    <xf numFmtId="0" fontId="5" fillId="17" borderId="25" xfId="0" applyFont="1" applyFill="1" applyBorder="1" applyAlignment="1">
      <alignment horizontal="center" vertical="center"/>
    </xf>
    <xf numFmtId="0" fontId="13" fillId="27" borderId="20" xfId="0" applyFont="1" applyFill="1" applyBorder="1" applyAlignment="1">
      <alignment vertical="center"/>
    </xf>
    <xf numFmtId="0" fontId="13" fillId="27" borderId="25" xfId="0" applyFont="1" applyFill="1" applyBorder="1" applyAlignment="1">
      <alignment vertical="center"/>
    </xf>
    <xf numFmtId="0" fontId="5" fillId="23" borderId="20" xfId="0" applyFont="1" applyFill="1" applyBorder="1" applyAlignment="1">
      <alignment horizontal="center" vertical="center"/>
    </xf>
    <xf numFmtId="0" fontId="13" fillId="23" borderId="25" xfId="0" applyFont="1" applyFill="1" applyBorder="1" applyAlignment="1">
      <alignment horizontal="left" vertical="center"/>
    </xf>
    <xf numFmtId="0" fontId="0" fillId="23" borderId="25" xfId="0" applyFill="1" applyBorder="1" applyAlignment="1">
      <alignment horizontal="left" vertical="center"/>
    </xf>
    <xf numFmtId="0" fontId="5" fillId="21" borderId="20" xfId="0" applyFont="1" applyFill="1" applyBorder="1" applyAlignment="1">
      <alignment horizontal="left" vertical="center"/>
    </xf>
    <xf numFmtId="0" fontId="5" fillId="21" borderId="25" xfId="0" applyFont="1" applyFill="1" applyBorder="1" applyAlignment="1">
      <alignment horizontal="left" vertical="center"/>
    </xf>
    <xf numFmtId="0" fontId="0" fillId="9" borderId="25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0" fontId="0" fillId="28" borderId="20" xfId="0" applyFont="1" applyFill="1" applyBorder="1" applyAlignment="1">
      <alignment vertical="center"/>
    </xf>
    <xf numFmtId="0" fontId="0" fillId="28" borderId="25" xfId="0" applyFill="1" applyBorder="1" applyAlignment="1">
      <alignment vertical="center" wrapText="1"/>
    </xf>
    <xf numFmtId="0" fontId="13" fillId="28" borderId="25" xfId="0" applyFont="1" applyFill="1" applyBorder="1" applyAlignment="1">
      <alignment vertical="center" wrapText="1"/>
    </xf>
    <xf numFmtId="0" fontId="5" fillId="19" borderId="25" xfId="0" applyFont="1" applyFill="1" applyBorder="1" applyAlignment="1">
      <alignment vertical="center" wrapText="1"/>
    </xf>
    <xf numFmtId="0" fontId="13" fillId="25" borderId="20" xfId="0" applyFont="1" applyFill="1" applyBorder="1" applyAlignment="1">
      <alignment vertical="center"/>
    </xf>
    <xf numFmtId="0" fontId="13" fillId="25" borderId="25" xfId="0" applyFont="1" applyFill="1" applyBorder="1" applyAlignment="1">
      <alignment vertical="center" wrapText="1"/>
    </xf>
    <xf numFmtId="0" fontId="13" fillId="24" borderId="20" xfId="0" applyFont="1" applyFill="1" applyBorder="1" applyAlignment="1">
      <alignment vertical="center"/>
    </xf>
    <xf numFmtId="0" fontId="13" fillId="24" borderId="25" xfId="0" applyFont="1" applyFill="1" applyBorder="1" applyAlignment="1">
      <alignment vertical="center"/>
    </xf>
    <xf numFmtId="0" fontId="5" fillId="14" borderId="25" xfId="0" applyFont="1" applyFill="1" applyBorder="1" applyAlignment="1">
      <alignment vertical="center" wrapText="1"/>
    </xf>
    <xf numFmtId="0" fontId="39" fillId="0" borderId="28" xfId="0" applyFont="1" applyFill="1" applyBorder="1" applyAlignment="1">
      <alignment horizontal="left" vertical="center"/>
    </xf>
    <xf numFmtId="0" fontId="38" fillId="0" borderId="29" xfId="0" applyFont="1" applyFill="1" applyBorder="1" applyAlignment="1">
      <alignment horizontal="right" vertical="center"/>
    </xf>
    <xf numFmtId="0" fontId="39" fillId="0" borderId="34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right" vertical="center"/>
    </xf>
    <xf numFmtId="164" fontId="0" fillId="0" borderId="33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9" fillId="0" borderId="40" xfId="0" applyFont="1" applyBorder="1" applyAlignment="1">
      <alignment vertical="center"/>
    </xf>
    <xf numFmtId="0" fontId="29" fillId="0" borderId="40" xfId="0" applyFont="1" applyBorder="1" applyAlignment="1">
      <alignment horizontal="right" vertical="center"/>
    </xf>
    <xf numFmtId="164" fontId="0" fillId="0" borderId="40" xfId="1" applyNumberFormat="1" applyFont="1" applyBorder="1" applyAlignment="1">
      <alignment vertical="center"/>
    </xf>
    <xf numFmtId="164" fontId="0" fillId="0" borderId="40" xfId="1" applyNumberFormat="1" applyFont="1" applyFill="1" applyBorder="1" applyAlignment="1">
      <alignment vertical="center"/>
    </xf>
    <xf numFmtId="0" fontId="43" fillId="0" borderId="36" xfId="0" applyFont="1" applyFill="1" applyBorder="1" applyAlignment="1">
      <alignment horizontal="left" vertical="center"/>
    </xf>
    <xf numFmtId="0" fontId="43" fillId="0" borderId="36" xfId="0" applyFont="1" applyFill="1" applyBorder="1" applyAlignment="1">
      <alignment horizontal="right" vertical="center"/>
    </xf>
    <xf numFmtId="164" fontId="43" fillId="0" borderId="36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left" vertical="center"/>
    </xf>
    <xf numFmtId="164" fontId="4" fillId="0" borderId="36" xfId="1" applyNumberFormat="1" applyFont="1" applyFill="1" applyBorder="1" applyAlignment="1" applyProtection="1">
      <alignment vertical="center"/>
      <protection locked="0"/>
    </xf>
    <xf numFmtId="0" fontId="44" fillId="0" borderId="0" xfId="0" applyFont="1"/>
    <xf numFmtId="168" fontId="45" fillId="4" borderId="2" xfId="0" applyNumberFormat="1" applyFont="1" applyFill="1" applyBorder="1" applyAlignment="1" applyProtection="1">
      <alignment horizontal="center" vertical="center"/>
      <protection locked="0"/>
    </xf>
    <xf numFmtId="0" fontId="45" fillId="4" borderId="2" xfId="0" applyFont="1" applyFill="1" applyBorder="1" applyAlignment="1" applyProtection="1">
      <alignment horizontal="center" vertical="center"/>
      <protection locked="0"/>
    </xf>
    <xf numFmtId="164" fontId="45" fillId="4" borderId="2" xfId="1" applyNumberFormat="1" applyFont="1" applyFill="1" applyBorder="1" applyAlignment="1" applyProtection="1">
      <alignment horizontal="center" vertical="center"/>
      <protection locked="0"/>
    </xf>
    <xf numFmtId="164" fontId="45" fillId="4" borderId="2" xfId="1" applyNumberFormat="1" applyFont="1" applyFill="1" applyBorder="1" applyAlignment="1">
      <alignment horizontal="center" vertical="center"/>
    </xf>
    <xf numFmtId="0" fontId="45" fillId="4" borderId="2" xfId="0" applyFont="1" applyFill="1" applyBorder="1" applyAlignment="1" applyProtection="1">
      <alignment horizontal="left" vertical="center"/>
      <protection locked="0"/>
    </xf>
    <xf numFmtId="0" fontId="46" fillId="0" borderId="0" xfId="0" applyFont="1"/>
    <xf numFmtId="166" fontId="46" fillId="0" borderId="2" xfId="0" applyNumberFormat="1" applyFont="1" applyBorder="1" applyProtection="1">
      <protection locked="0"/>
    </xf>
    <xf numFmtId="0" fontId="46" fillId="0" borderId="2" xfId="0" applyFont="1" applyBorder="1"/>
    <xf numFmtId="0" fontId="46" fillId="0" borderId="2" xfId="0" applyFont="1" applyBorder="1" applyProtection="1">
      <protection locked="0"/>
    </xf>
    <xf numFmtId="164" fontId="46" fillId="0" borderId="2" xfId="1" applyNumberFormat="1" applyFont="1" applyBorder="1" applyProtection="1">
      <protection locked="0"/>
    </xf>
    <xf numFmtId="164" fontId="47" fillId="0" borderId="2" xfId="1" applyNumberFormat="1" applyFont="1" applyBorder="1"/>
    <xf numFmtId="0" fontId="46" fillId="0" borderId="2" xfId="0" applyFont="1" applyBorder="1" applyAlignment="1" applyProtection="1">
      <alignment horizontal="right"/>
      <protection locked="0"/>
    </xf>
    <xf numFmtId="3" fontId="47" fillId="0" borderId="2" xfId="0" applyNumberFormat="1" applyFont="1" applyBorder="1"/>
    <xf numFmtId="165" fontId="46" fillId="8" borderId="2" xfId="0" applyNumberFormat="1" applyFont="1" applyFill="1" applyBorder="1" applyProtection="1">
      <protection locked="0"/>
    </xf>
    <xf numFmtId="3" fontId="46" fillId="0" borderId="2" xfId="0" applyNumberFormat="1" applyFont="1" applyBorder="1" applyProtection="1">
      <protection locked="0"/>
    </xf>
    <xf numFmtId="166" fontId="46" fillId="8" borderId="2" xfId="0" applyNumberFormat="1" applyFont="1" applyFill="1" applyBorder="1" applyProtection="1">
      <protection locked="0"/>
    </xf>
    <xf numFmtId="0" fontId="46" fillId="0" borderId="0" xfId="0" applyFont="1" applyBorder="1" applyProtection="1">
      <protection locked="0"/>
    </xf>
    <xf numFmtId="15" fontId="46" fillId="8" borderId="2" xfId="0" applyNumberFormat="1" applyFont="1" applyFill="1" applyBorder="1" applyProtection="1">
      <protection locked="0"/>
    </xf>
    <xf numFmtId="0" fontId="46" fillId="0" borderId="2" xfId="0" applyFont="1" applyFill="1" applyBorder="1" applyProtection="1">
      <protection locked="0"/>
    </xf>
    <xf numFmtId="164" fontId="46" fillId="0" borderId="2" xfId="1" applyNumberFormat="1" applyFont="1" applyBorder="1" applyAlignment="1" applyProtection="1">
      <alignment horizontal="right"/>
      <protection locked="0"/>
    </xf>
    <xf numFmtId="15" fontId="46" fillId="9" borderId="2" xfId="0" applyNumberFormat="1" applyFont="1" applyFill="1" applyBorder="1" applyProtection="1">
      <protection locked="0"/>
    </xf>
    <xf numFmtId="0" fontId="48" fillId="12" borderId="2" xfId="0" applyFont="1" applyFill="1" applyBorder="1" applyProtection="1">
      <protection locked="0"/>
    </xf>
    <xf numFmtId="3" fontId="46" fillId="0" borderId="0" xfId="0" applyNumberFormat="1" applyFont="1"/>
    <xf numFmtId="0" fontId="46" fillId="12" borderId="2" xfId="0" applyFont="1" applyFill="1" applyBorder="1" applyProtection="1">
      <protection locked="0"/>
    </xf>
    <xf numFmtId="169" fontId="46" fillId="9" borderId="2" xfId="0" applyNumberFormat="1" applyFont="1" applyFill="1" applyBorder="1" applyProtection="1">
      <protection locked="0"/>
    </xf>
    <xf numFmtId="0" fontId="46" fillId="0" borderId="7" xfId="0" applyFont="1" applyBorder="1" applyProtection="1">
      <protection locked="0"/>
    </xf>
    <xf numFmtId="0" fontId="46" fillId="0" borderId="6" xfId="0" applyFont="1" applyBorder="1" applyProtection="1">
      <protection locked="0"/>
    </xf>
    <xf numFmtId="0" fontId="46" fillId="10" borderId="2" xfId="0" applyFont="1" applyFill="1" applyBorder="1" applyProtection="1">
      <protection locked="0"/>
    </xf>
    <xf numFmtId="15" fontId="46" fillId="0" borderId="2" xfId="0" applyNumberFormat="1" applyFont="1" applyBorder="1" applyProtection="1">
      <protection locked="0"/>
    </xf>
    <xf numFmtId="0" fontId="49" fillId="12" borderId="2" xfId="0" applyFont="1" applyFill="1" applyBorder="1" applyProtection="1">
      <protection locked="0"/>
    </xf>
    <xf numFmtId="0" fontId="46" fillId="11" borderId="2" xfId="0" applyFont="1" applyFill="1" applyBorder="1" applyAlignment="1" applyProtection="1">
      <alignment horizontal="right"/>
      <protection locked="0"/>
    </xf>
    <xf numFmtId="0" fontId="46" fillId="0" borderId="2" xfId="0" applyFont="1" applyBorder="1" applyAlignment="1" applyProtection="1">
      <protection locked="0"/>
    </xf>
    <xf numFmtId="169" fontId="46" fillId="0" borderId="2" xfId="0" applyNumberFormat="1" applyFont="1" applyBorder="1" applyProtection="1">
      <protection locked="0"/>
    </xf>
    <xf numFmtId="0" fontId="46" fillId="11" borderId="2" xfId="0" applyFont="1" applyFill="1" applyBorder="1" applyProtection="1">
      <protection locked="0"/>
    </xf>
    <xf numFmtId="3" fontId="46" fillId="15" borderId="2" xfId="0" applyNumberFormat="1" applyFont="1" applyFill="1" applyBorder="1" applyProtection="1">
      <protection locked="0"/>
    </xf>
    <xf numFmtId="0" fontId="49" fillId="0" borderId="2" xfId="0" applyFont="1" applyBorder="1" applyProtection="1">
      <protection locked="0"/>
    </xf>
    <xf numFmtId="164" fontId="46" fillId="15" borderId="2" xfId="1" applyNumberFormat="1" applyFont="1" applyFill="1" applyBorder="1" applyProtection="1">
      <protection locked="0"/>
    </xf>
    <xf numFmtId="164" fontId="46" fillId="8" borderId="2" xfId="1" applyNumberFormat="1" applyFont="1" applyFill="1" applyBorder="1" applyProtection="1">
      <protection locked="0"/>
    </xf>
    <xf numFmtId="164" fontId="46" fillId="0" borderId="0" xfId="0" applyNumberFormat="1" applyFont="1"/>
    <xf numFmtId="170" fontId="46" fillId="0" borderId="0" xfId="0" applyNumberFormat="1" applyFont="1"/>
    <xf numFmtId="165" fontId="46" fillId="5" borderId="3" xfId="0" applyNumberFormat="1" applyFont="1" applyFill="1" applyBorder="1" applyAlignment="1">
      <alignment horizontal="center"/>
    </xf>
    <xf numFmtId="165" fontId="46" fillId="5" borderId="1" xfId="0" applyNumberFormat="1" applyFont="1" applyFill="1" applyBorder="1" applyAlignment="1">
      <alignment horizontal="center"/>
    </xf>
    <xf numFmtId="165" fontId="46" fillId="5" borderId="5" xfId="0" applyNumberFormat="1" applyFont="1" applyFill="1" applyBorder="1" applyAlignment="1">
      <alignment horizontal="center"/>
    </xf>
    <xf numFmtId="164" fontId="46" fillId="5" borderId="2" xfId="1" applyNumberFormat="1" applyFont="1" applyFill="1" applyBorder="1"/>
    <xf numFmtId="164" fontId="47" fillId="5" borderId="2" xfId="1" applyNumberFormat="1" applyFont="1" applyFill="1" applyBorder="1"/>
    <xf numFmtId="0" fontId="46" fillId="3" borderId="2" xfId="0" applyFont="1" applyFill="1" applyBorder="1"/>
    <xf numFmtId="16" fontId="0" fillId="0" borderId="2" xfId="0" applyNumberFormat="1" applyFont="1" applyBorder="1" applyProtection="1">
      <protection locked="0"/>
    </xf>
    <xf numFmtId="3" fontId="47" fillId="8" borderId="2" xfId="0" applyNumberFormat="1" applyFont="1" applyFill="1" applyBorder="1"/>
    <xf numFmtId="3" fontId="46" fillId="0" borderId="0" xfId="0" applyNumberFormat="1" applyFont="1" applyAlignment="1">
      <alignment horizontal="left"/>
    </xf>
    <xf numFmtId="0" fontId="46" fillId="8" borderId="2" xfId="0" applyFont="1" applyFill="1" applyBorder="1" applyProtection="1">
      <protection locked="0"/>
    </xf>
    <xf numFmtId="164" fontId="18" fillId="2" borderId="22" xfId="1" applyNumberFormat="1" applyFont="1" applyFill="1" applyBorder="1" applyAlignment="1">
      <alignment horizontal="center" wrapText="1"/>
    </xf>
    <xf numFmtId="167" fontId="14" fillId="2" borderId="22" xfId="1" applyNumberFormat="1" applyFont="1" applyFill="1" applyBorder="1" applyAlignment="1">
      <alignment horizontal="center" vertical="center" wrapText="1"/>
    </xf>
    <xf numFmtId="164" fontId="18" fillId="2" borderId="22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7" fillId="0" borderId="0" xfId="0" applyFont="1" applyBorder="1" applyProtection="1">
      <protection locked="0"/>
    </xf>
    <xf numFmtId="0" fontId="0" fillId="0" borderId="40" xfId="0" applyBorder="1" applyAlignment="1">
      <alignment vertical="center"/>
    </xf>
    <xf numFmtId="0" fontId="42" fillId="0" borderId="42" xfId="0" applyFont="1" applyFill="1" applyBorder="1" applyAlignment="1">
      <alignment horizontal="right" vertical="center"/>
    </xf>
    <xf numFmtId="0" fontId="0" fillId="9" borderId="20" xfId="0" applyFill="1" applyBorder="1" applyAlignment="1">
      <alignment horizontal="left" vertical="center" wrapText="1"/>
    </xf>
    <xf numFmtId="0" fontId="0" fillId="9" borderId="25" xfId="0" applyFill="1" applyBorder="1" applyAlignment="1">
      <alignment horizontal="left" vertical="center" wrapText="1"/>
    </xf>
    <xf numFmtId="0" fontId="5" fillId="17" borderId="20" xfId="0" applyFont="1" applyFill="1" applyBorder="1" applyAlignment="1">
      <alignment horizontal="center" vertical="center" wrapText="1"/>
    </xf>
    <xf numFmtId="0" fontId="5" fillId="17" borderId="2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16" fillId="5" borderId="3" xfId="0" applyNumberFormat="1" applyFont="1" applyFill="1" applyBorder="1" applyAlignment="1" applyProtection="1">
      <alignment horizontal="center"/>
      <protection locked="0"/>
    </xf>
    <xf numFmtId="165" fontId="16" fillId="5" borderId="1" xfId="0" applyNumberFormat="1" applyFont="1" applyFill="1" applyBorder="1" applyAlignment="1" applyProtection="1">
      <alignment horizontal="center"/>
      <protection locked="0"/>
    </xf>
    <xf numFmtId="165" fontId="16" fillId="5" borderId="5" xfId="0" applyNumberFormat="1" applyFont="1" applyFill="1" applyBorder="1" applyAlignment="1" applyProtection="1">
      <alignment horizontal="center"/>
      <protection locked="0"/>
    </xf>
    <xf numFmtId="165" fontId="16" fillId="5" borderId="8" xfId="0" applyNumberFormat="1" applyFont="1" applyFill="1" applyBorder="1" applyAlignment="1" applyProtection="1">
      <alignment horizontal="center"/>
      <protection locked="0"/>
    </xf>
    <xf numFmtId="165" fontId="16" fillId="5" borderId="4" xfId="0" applyNumberFormat="1" applyFont="1" applyFill="1" applyBorder="1" applyAlignment="1" applyProtection="1">
      <alignment horizontal="center"/>
      <protection locked="0"/>
    </xf>
    <xf numFmtId="165" fontId="16" fillId="5" borderId="9" xfId="0" applyNumberFormat="1" applyFont="1" applyFill="1" applyBorder="1" applyAlignment="1" applyProtection="1">
      <alignment horizontal="center"/>
      <protection locked="0"/>
    </xf>
    <xf numFmtId="164" fontId="18" fillId="2" borderId="21" xfId="1" applyNumberFormat="1" applyFont="1" applyFill="1" applyBorder="1" applyAlignment="1">
      <alignment horizontal="center" wrapText="1"/>
    </xf>
    <xf numFmtId="164" fontId="18" fillId="2" borderId="22" xfId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7" fontId="14" fillId="2" borderId="21" xfId="1" applyNumberFormat="1" applyFont="1" applyFill="1" applyBorder="1" applyAlignment="1">
      <alignment horizontal="center" vertical="center" wrapText="1"/>
    </xf>
    <xf numFmtId="167" fontId="14" fillId="2" borderId="22" xfId="1" applyNumberFormat="1" applyFont="1" applyFill="1" applyBorder="1" applyAlignment="1">
      <alignment horizontal="center" vertical="center" wrapText="1"/>
    </xf>
    <xf numFmtId="164" fontId="18" fillId="2" borderId="21" xfId="1" applyNumberFormat="1" applyFont="1" applyFill="1" applyBorder="1" applyAlignment="1">
      <alignment horizontal="center" vertical="center" wrapText="1"/>
    </xf>
    <xf numFmtId="164" fontId="18" fillId="2" borderId="22" xfId="1" applyNumberFormat="1" applyFont="1" applyFill="1" applyBorder="1" applyAlignment="1">
      <alignment horizontal="center" vertical="center" wrapText="1"/>
    </xf>
    <xf numFmtId="167" fontId="19" fillId="2" borderId="43" xfId="0" applyNumberFormat="1" applyFont="1" applyFill="1" applyBorder="1" applyAlignment="1">
      <alignment horizontal="center" vertical="center"/>
    </xf>
    <xf numFmtId="167" fontId="19" fillId="2" borderId="4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66CC"/>
      <color rgb="FF00FF00"/>
      <color rgb="FFEA84A8"/>
      <color rgb="FFCCFFCC"/>
      <color rgb="FF99FF99"/>
      <color rgb="FFFFCCFF"/>
      <color rgb="FFFFCC66"/>
      <color rgb="FFFF99CC"/>
      <color rgb="FF99CCFF"/>
      <color rgb="FF00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4800"/>
            </a:pPr>
            <a:r>
              <a:rPr lang="km-KH" sz="4800" b="1" i="0" u="none" strike="noStrike" baseline="0">
                <a:latin typeface="Khmer Mondulkiri-s" pitchFamily="2" charset="0"/>
                <a:cs typeface="Khmer Mondulkiri-s" pitchFamily="2" charset="0"/>
              </a:rPr>
              <a:t>គម្រោងថវិកាសំរាប់រដូវទី១០</a:t>
            </a:r>
            <a:endParaRPr lang="en-US" sz="4800">
              <a:latin typeface="Khmer Mondulkiri-s" pitchFamily="2" charset="0"/>
              <a:cs typeface="Khmer Mondulkiri-s" pitchFamily="2" charset="0"/>
            </a:endParaRPr>
          </a:p>
        </c:rich>
      </c:tx>
      <c:layout>
        <c:manualLayout>
          <c:xMode val="edge"/>
          <c:yMode val="edge"/>
          <c:x val="0.48754600011231741"/>
          <c:y val="2.3032490320006531E-2"/>
        </c:manualLayout>
      </c:layout>
    </c:title>
    <c:plotArea>
      <c:layout>
        <c:manualLayout>
          <c:layoutTarget val="inner"/>
          <c:xMode val="edge"/>
          <c:yMode val="edge"/>
          <c:x val="5.8692194994215456E-2"/>
          <c:y val="0.20717617876641806"/>
          <c:w val="0.49615248315077592"/>
          <c:h val="0.760349163979955"/>
        </c:manualLayout>
      </c:layout>
      <c:pieChart>
        <c:varyColors val="1"/>
        <c:ser>
          <c:idx val="0"/>
          <c:order val="0"/>
          <c:tx>
            <c:v>Budget Plan Season 10</c:v>
          </c:tx>
          <c:dPt>
            <c:idx val="0"/>
            <c:spPr>
              <a:solidFill>
                <a:srgbClr val="FFC000"/>
              </a:solidFill>
            </c:spPr>
          </c:dPt>
          <c:dPt>
            <c:idx val="1"/>
            <c:spPr>
              <a:solidFill>
                <a:srgbClr val="FF66CC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Lbls>
            <c:dLbl>
              <c:idx val="1"/>
              <c:layout>
                <c:manualLayout>
                  <c:x val="-3.1858123744094462E-2"/>
                  <c:y val="4.7142083426416924E-2"/>
                </c:manualLayout>
              </c:layout>
              <c:showVal val="1"/>
              <c:showPercent val="1"/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Val val="1"/>
            <c:showPercent val="1"/>
            <c:showLeaderLines val="1"/>
          </c:dLbls>
          <c:cat>
            <c:strRef>
              <c:f>'Budget plan season10'!$B$18:$C$40</c:f>
              <c:strCache>
                <c:ptCount val="5"/>
                <c:pt idx="0">
                  <c:v>ប្រាក់ឧបត្ថម្ភ</c:v>
                </c:pt>
                <c:pt idx="1">
                  <c:v>ការចំណាយជាប្រចាំ</c:v>
                </c:pt>
                <c:pt idx="2">
                  <c:v>ការចំណាយលើដំណើរការស្រោចស្រព</c:v>
                </c:pt>
                <c:pt idx="3">
                  <c:v>ការចំណាយលើការថែទាំប្រចាំឆ្នាំ</c:v>
                </c:pt>
                <c:pt idx="4">
                  <c:v>ការចំណាយពិសេស</c:v>
                </c:pt>
              </c:strCache>
            </c:strRef>
          </c:cat>
          <c:val>
            <c:numRef>
              <c:f>'Budget plan season10'!$J$18:$J$40</c:f>
              <c:numCache>
                <c:formatCode>_(* #,##0_);_(* \(#,##0\);_(* "-"??_);_(@_)</c:formatCode>
                <c:ptCount val="5"/>
                <c:pt idx="0">
                  <c:v>1390000</c:v>
                </c:pt>
                <c:pt idx="1">
                  <c:v>1680000</c:v>
                </c:pt>
                <c:pt idx="2">
                  <c:v>13510000</c:v>
                </c:pt>
                <c:pt idx="3">
                  <c:v>8010000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7206786467602344"/>
          <c:y val="0.29277324820183365"/>
          <c:w val="0.34568243908663138"/>
          <c:h val="0.66263288516620877"/>
        </c:manualLayout>
      </c:layout>
      <c:txPr>
        <a:bodyPr/>
        <a:lstStyle/>
        <a:p>
          <a:pPr>
            <a:defRPr sz="2400">
              <a:latin typeface="Khmer Mondulkiri-s" pitchFamily="2" charset="0"/>
              <a:cs typeface="Khmer Mondulkiri-s" pitchFamily="2" charset="0"/>
            </a:defRPr>
          </a:pPr>
          <a:endParaRPr lang="en-US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4800">
                <a:latin typeface="Khmer Mondulkiri-s" pitchFamily="2" charset="0"/>
                <a:cs typeface="Khmer Mondulkiri-s" pitchFamily="2" charset="0"/>
              </a:defRPr>
            </a:pPr>
            <a:r>
              <a:rPr lang="en-US" sz="4800" b="1" i="0" u="none" strike="noStrike" baseline="0">
                <a:latin typeface="Khmer Mondulkiri-s" pitchFamily="2" charset="0"/>
                <a:cs typeface="Khmer Mondulkiri-s" pitchFamily="2" charset="0"/>
              </a:rPr>
              <a:t>តារាងប្រៀបធៀបគ្នារវាងផែនការណ៍ចំណាយនិងជាក់ស្តែង</a:t>
            </a:r>
            <a:endParaRPr lang="en-US" sz="4800">
              <a:latin typeface="Khmer Mondulkiri-s" pitchFamily="2" charset="0"/>
              <a:cs typeface="Khmer Mondulkiri-s" pitchFamily="2" charset="0"/>
            </a:endParaRPr>
          </a:p>
        </c:rich>
      </c:tx>
      <c:layout>
        <c:manualLayout>
          <c:xMode val="edge"/>
          <c:yMode val="edge"/>
          <c:x val="0.11507876312279393"/>
          <c:y val="7.5379059229112283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31271491194379597"/>
          <c:y val="0.17588447153459541"/>
          <c:w val="0.58273543676734141"/>
          <c:h val="0.75610505255678406"/>
        </c:manualLayout>
      </c:layout>
      <c:bar3DChart>
        <c:barDir val="bar"/>
        <c:grouping val="clustered"/>
        <c:ser>
          <c:idx val="0"/>
          <c:order val="0"/>
          <c:tx>
            <c:v>Real</c:v>
          </c:tx>
          <c:cat>
            <c:strRef>
              <c:f>'Monthly Expenses&amp;Incomes'!$B$15:$B$37</c:f>
              <c:strCache>
                <c:ptCount val="23"/>
                <c:pt idx="0">
                  <c:v>ប្រាក់ឧបត្ថម្ភ</c:v>
                </c:pt>
                <c:pt idx="8">
                  <c:v>ការចំណាយជាប្រចាំ</c:v>
                </c:pt>
                <c:pt idx="12">
                  <c:v>ការចំណាយលើដំណើរការស្រោចស្រព</c:v>
                </c:pt>
                <c:pt idx="16">
                  <c:v>ការចំណាយលើការថែទាំប្រចាំឆ្នាំ</c:v>
                </c:pt>
                <c:pt idx="22">
                  <c:v>ការចំណាយពិសេស</c:v>
                </c:pt>
              </c:strCache>
            </c:strRef>
          </c:cat>
          <c:val>
            <c:numRef>
              <c:f>'Monthly Expenses&amp;Incomes'!$J$15:$J$37</c:f>
              <c:numCache>
                <c:formatCode>_(* #,##0_);_(* \(#,##0\);_(* ""??_);_(@_)</c:formatCode>
                <c:ptCount val="23"/>
                <c:pt idx="0">
                  <c:v>1260000</c:v>
                </c:pt>
                <c:pt idx="1">
                  <c:v>140000</c:v>
                </c:pt>
                <c:pt idx="2">
                  <c:v>390000</c:v>
                </c:pt>
                <c:pt idx="3">
                  <c:v>300000</c:v>
                </c:pt>
                <c:pt idx="4">
                  <c:v>300000</c:v>
                </c:pt>
                <c:pt idx="5">
                  <c:v>100000</c:v>
                </c:pt>
                <c:pt idx="6">
                  <c:v>0</c:v>
                </c:pt>
                <c:pt idx="7">
                  <c:v>30000</c:v>
                </c:pt>
                <c:pt idx="8">
                  <c:v>2122500</c:v>
                </c:pt>
                <c:pt idx="9">
                  <c:v>426000</c:v>
                </c:pt>
                <c:pt idx="10">
                  <c:v>696500</c:v>
                </c:pt>
                <c:pt idx="11">
                  <c:v>1000000</c:v>
                </c:pt>
                <c:pt idx="12">
                  <c:v>10203500</c:v>
                </c:pt>
                <c:pt idx="13">
                  <c:v>132000</c:v>
                </c:pt>
                <c:pt idx="14">
                  <c:v>9771500</c:v>
                </c:pt>
                <c:pt idx="15">
                  <c:v>300000</c:v>
                </c:pt>
                <c:pt idx="16">
                  <c:v>2894000</c:v>
                </c:pt>
                <c:pt idx="17">
                  <c:v>995000</c:v>
                </c:pt>
                <c:pt idx="18">
                  <c:v>50000</c:v>
                </c:pt>
                <c:pt idx="19">
                  <c:v>1567000</c:v>
                </c:pt>
                <c:pt idx="20">
                  <c:v>60000</c:v>
                </c:pt>
                <c:pt idx="21">
                  <c:v>222000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tx>
            <c:v>Plan</c:v>
          </c:tx>
          <c:cat>
            <c:strRef>
              <c:f>'Monthly Expenses&amp;Incomes'!$B$15:$B$37</c:f>
              <c:strCache>
                <c:ptCount val="23"/>
                <c:pt idx="0">
                  <c:v>ប្រាក់ឧបត្ថម្ភ</c:v>
                </c:pt>
                <c:pt idx="8">
                  <c:v>ការចំណាយជាប្រចាំ</c:v>
                </c:pt>
                <c:pt idx="12">
                  <c:v>ការចំណាយលើដំណើរការស្រោចស្រព</c:v>
                </c:pt>
                <c:pt idx="16">
                  <c:v>ការចំណាយលើការថែទាំប្រចាំឆ្នាំ</c:v>
                </c:pt>
                <c:pt idx="22">
                  <c:v>ការចំណាយពិសេស</c:v>
                </c:pt>
              </c:strCache>
            </c:strRef>
          </c:cat>
          <c:val>
            <c:numRef>
              <c:f>'Monthly Expenses&amp;Incomes'!$K$15:$K$37</c:f>
              <c:numCache>
                <c:formatCode>_(* #,##0_);_(* \(#,##0\);_(* "-"??_);_(@_)</c:formatCode>
                <c:ptCount val="23"/>
                <c:pt idx="0">
                  <c:v>1390000</c:v>
                </c:pt>
                <c:pt idx="1">
                  <c:v>140000</c:v>
                </c:pt>
                <c:pt idx="2">
                  <c:v>360000</c:v>
                </c:pt>
                <c:pt idx="3">
                  <c:v>400000</c:v>
                </c:pt>
                <c:pt idx="4">
                  <c:v>320000</c:v>
                </c:pt>
                <c:pt idx="5">
                  <c:v>30000</c:v>
                </c:pt>
                <c:pt idx="6">
                  <c:v>120000</c:v>
                </c:pt>
                <c:pt idx="7">
                  <c:v>20000</c:v>
                </c:pt>
                <c:pt idx="8">
                  <c:v>1680000</c:v>
                </c:pt>
                <c:pt idx="9">
                  <c:v>180000</c:v>
                </c:pt>
                <c:pt idx="10">
                  <c:v>500000</c:v>
                </c:pt>
                <c:pt idx="11">
                  <c:v>1000000</c:v>
                </c:pt>
                <c:pt idx="12">
                  <c:v>13510000</c:v>
                </c:pt>
                <c:pt idx="13">
                  <c:v>200000</c:v>
                </c:pt>
                <c:pt idx="14">
                  <c:v>12880000</c:v>
                </c:pt>
                <c:pt idx="15">
                  <c:v>430000</c:v>
                </c:pt>
                <c:pt idx="16">
                  <c:v>8010000</c:v>
                </c:pt>
                <c:pt idx="17">
                  <c:v>1000000</c:v>
                </c:pt>
                <c:pt idx="18">
                  <c:v>5000000</c:v>
                </c:pt>
                <c:pt idx="19">
                  <c:v>1500000</c:v>
                </c:pt>
                <c:pt idx="20">
                  <c:v>150000</c:v>
                </c:pt>
                <c:pt idx="21">
                  <c:v>360000</c:v>
                </c:pt>
                <c:pt idx="22" formatCode="_(* #,##0_);_(* \(#,##0\);_(* &quot;&quot;??_);_(@_)">
                  <c:v>0</c:v>
                </c:pt>
              </c:numCache>
            </c:numRef>
          </c:val>
        </c:ser>
        <c:shape val="box"/>
        <c:axId val="147523840"/>
        <c:axId val="118648832"/>
        <c:axId val="0"/>
      </c:bar3DChart>
      <c:catAx>
        <c:axId val="147523840"/>
        <c:scaling>
          <c:orientation val="minMax"/>
        </c:scaling>
        <c:axPos val="l"/>
        <c:tickLblPos val="nextTo"/>
        <c:txPr>
          <a:bodyPr/>
          <a:lstStyle/>
          <a:p>
            <a:pPr>
              <a:defRPr sz="2400" b="1">
                <a:latin typeface="Khmer Mondulkiri-s" pitchFamily="2" charset="0"/>
                <a:cs typeface="Khmer Mondulkiri-s" pitchFamily="2" charset="0"/>
              </a:defRPr>
            </a:pPr>
            <a:endParaRPr lang="en-US"/>
          </a:p>
        </c:txPr>
        <c:crossAx val="118648832"/>
        <c:crosses val="autoZero"/>
        <c:auto val="1"/>
        <c:lblAlgn val="ctr"/>
        <c:lblOffset val="100"/>
      </c:catAx>
      <c:valAx>
        <c:axId val="118648832"/>
        <c:scaling>
          <c:orientation val="minMax"/>
        </c:scaling>
        <c:axPos val="b"/>
        <c:majorGridlines/>
        <c:numFmt formatCode="_(* #,##0_);_(* \(#,##0\);_(* &quot;&quot;??_);_(@_)" sourceLinked="1"/>
        <c:tickLblPos val="nextTo"/>
        <c:crossAx val="147523840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600"/>
            </a:pPr>
            <a:r>
              <a:rPr lang="en-US" sz="2400">
                <a:latin typeface="Khmer OS" pitchFamily="2" charset="0"/>
                <a:cs typeface="Khmer OS" pitchFamily="2" charset="0"/>
              </a:rPr>
              <a:t>សរុបចំណាយជាក់ស្តែងក្នុងរដូវទី10</a:t>
            </a:r>
            <a:endParaRPr lang="en-US" sz="3600"/>
          </a:p>
        </c:rich>
      </c:tx>
      <c:layout>
        <c:manualLayout>
          <c:xMode val="edge"/>
          <c:yMode val="edge"/>
          <c:x val="0.23581643031597627"/>
          <c:y val="9.2129961280026262E-2"/>
        </c:manualLayout>
      </c:layout>
    </c:title>
    <c:plotArea>
      <c:layout>
        <c:manualLayout>
          <c:layoutTarget val="inner"/>
          <c:xMode val="edge"/>
          <c:yMode val="edge"/>
          <c:x val="8.5954772231263354E-2"/>
          <c:y val="0.29304730398683032"/>
          <c:w val="0.44713357143763921"/>
          <c:h val="0.6852281279960165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FFC000"/>
              </a:solidFill>
            </c:spPr>
          </c:dPt>
          <c:dPt>
            <c:idx val="1"/>
            <c:spPr>
              <a:solidFill>
                <a:srgbClr val="FF66CC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Lbls>
            <c:dLbl>
              <c:idx val="1"/>
              <c:layout>
                <c:manualLayout>
                  <c:x val="-2.1975859072202241E-2"/>
                  <c:y val="0.13790790136422637"/>
                </c:manualLayout>
              </c:layout>
              <c:showPercent val="1"/>
            </c:dLbl>
            <c:dLbl>
              <c:idx val="2"/>
              <c:layout>
                <c:manualLayout>
                  <c:x val="-7.0768091871339645E-2"/>
                  <c:y val="-0.21966054692684422"/>
                </c:manualLayout>
              </c:layout>
              <c:showPercent val="1"/>
            </c:dLbl>
            <c:dLbl>
              <c:idx val="3"/>
              <c:layout>
                <c:manualLayout>
                  <c:x val="8.4087064928716093E-2"/>
                  <c:y val="0.12816303112189051"/>
                </c:manualLayout>
              </c:layout>
              <c:showPercent val="1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Percent val="1"/>
          </c:dLbls>
          <c:cat>
            <c:multiLvlStrRef>
              <c:f>'Final Statement'!$A$24:$B$46</c:f>
              <c:multiLvlStrCache>
                <c:ptCount val="5"/>
                <c:lvl>
                  <c:pt idx="0">
                    <c:v>ប្រាក់ឧបត្ថម្ភ</c:v>
                  </c:pt>
                  <c:pt idx="1">
                    <c:v>ការចំណាយជាប្រចាំ</c:v>
                  </c:pt>
                  <c:pt idx="2">
                    <c:v>ការចំណាយលើដំណើរការស្រោចស្រព</c:v>
                  </c:pt>
                  <c:pt idx="3">
                    <c:v>ការថែទាំប្រចាំឆ្នាំ</c:v>
                  </c:pt>
                  <c:pt idx="4">
                    <c:v>ការចំណាយពិសេស</c:v>
                  </c:pt>
                </c:lvl>
                <c:lvl>
                  <c:pt idx="0">
                    <c:v>C10</c:v>
                  </c:pt>
                  <c:pt idx="1">
                    <c:v>C20</c:v>
                  </c:pt>
                  <c:pt idx="2">
                    <c:v>C30</c:v>
                  </c:pt>
                  <c:pt idx="3">
                    <c:v>C40</c:v>
                  </c:pt>
                  <c:pt idx="4">
                    <c:v>D</c:v>
                  </c:pt>
                </c:lvl>
              </c:multiLvlStrCache>
            </c:multiLvlStrRef>
          </c:cat>
          <c:val>
            <c:numRef>
              <c:f>'Final Statement'!$C$24:$C$46</c:f>
              <c:numCache>
                <c:formatCode>_(* #,##0_);_(* \(#,##0\);_(* "-"??_);_(@_)</c:formatCode>
                <c:ptCount val="5"/>
                <c:pt idx="0">
                  <c:v>1260000</c:v>
                </c:pt>
                <c:pt idx="1">
                  <c:v>2122500</c:v>
                </c:pt>
                <c:pt idx="2">
                  <c:v>10203500</c:v>
                </c:pt>
                <c:pt idx="3">
                  <c:v>2894000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multiLvlStrRef>
              <c:f>'Final Statement'!$A$24:$B$46</c:f>
              <c:multiLvlStrCache>
                <c:ptCount val="5"/>
                <c:lvl>
                  <c:pt idx="0">
                    <c:v>ប្រាក់ឧបត្ថម្ភ</c:v>
                  </c:pt>
                  <c:pt idx="1">
                    <c:v>ការចំណាយជាប្រចាំ</c:v>
                  </c:pt>
                  <c:pt idx="2">
                    <c:v>ការចំណាយលើដំណើរការស្រោចស្រព</c:v>
                  </c:pt>
                  <c:pt idx="3">
                    <c:v>ការថែទាំប្រចាំឆ្នាំ</c:v>
                  </c:pt>
                  <c:pt idx="4">
                    <c:v>ការចំណាយពិសេស</c:v>
                  </c:pt>
                </c:lvl>
                <c:lvl>
                  <c:pt idx="0">
                    <c:v>C10</c:v>
                  </c:pt>
                  <c:pt idx="1">
                    <c:v>C20</c:v>
                  </c:pt>
                  <c:pt idx="2">
                    <c:v>C30</c:v>
                  </c:pt>
                  <c:pt idx="3">
                    <c:v>C40</c:v>
                  </c:pt>
                  <c:pt idx="4">
                    <c:v>D</c:v>
                  </c:pt>
                </c:lvl>
              </c:multiLvlStrCache>
            </c:multiLvlStrRef>
          </c:cat>
          <c:val>
            <c:numRef>
              <c:f>'Final Statement'!$D$24:$D$46</c:f>
              <c:numCache>
                <c:formatCode>_(* #,##0_);_(* \(#,##0\);_(* "-"??_);_(@_)</c:formatCode>
                <c:ptCount val="5"/>
                <c:pt idx="0">
                  <c:v>311.11111111111109</c:v>
                </c:pt>
                <c:pt idx="1">
                  <c:v>524.07407407407402</c:v>
                </c:pt>
                <c:pt idx="2">
                  <c:v>2519.3827160493829</c:v>
                </c:pt>
                <c:pt idx="3">
                  <c:v>714.5679012345679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4116325550941669"/>
          <c:y val="0.23669132876648871"/>
          <c:w val="0.37822425741945898"/>
          <c:h val="0.73519479453705361"/>
        </c:manualLayout>
      </c:layout>
      <c:txPr>
        <a:bodyPr/>
        <a:lstStyle/>
        <a:p>
          <a:pPr>
            <a:defRPr sz="2000">
              <a:latin typeface="Khmer OS" pitchFamily="2" charset="0"/>
              <a:cs typeface="Khmer OS" pitchFamily="2" charset="0"/>
            </a:defRPr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3" right="0.18" top="0.81" bottom="0.31" header="0.3" footer="0.3"/>
  <pageSetup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3691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0.45838</cdr:x>
      <cdr:y>0.07852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260682" cy="476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 i="0">
              <a:solidFill>
                <a:srgbClr val="4F81BD">
                  <a:lumMod val="75000"/>
                </a:srgbClr>
              </a:solidFill>
              <a:latin typeface="Khmer OS" pitchFamily="2" charset="0"/>
              <a:cs typeface="Khmer OS" pitchFamily="2" charset="0"/>
            </a:rPr>
            <a:t>សហគមន៍កសិករប្រើប្រាស់ទឹកស្តៅកោង</a:t>
          </a:r>
        </a:p>
      </cdr:txBody>
    </cdr:sp>
  </cdr:relSizeAnchor>
  <cdr:relSizeAnchor xmlns:cdr="http://schemas.openxmlformats.org/drawingml/2006/chartDrawing">
    <cdr:from>
      <cdr:x>0.01649</cdr:x>
      <cdr:y>0.09031</cdr:y>
    </cdr:from>
    <cdr:to>
      <cdr:x>0.09305</cdr:x>
      <cdr:y>0.22871</cdr:y>
    </cdr:to>
    <cdr:pic>
      <cdr:nvPicPr>
        <cdr:cNvPr id="3" name="Picture 2" descr="ISC small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3276" y="547770"/>
          <a:ext cx="711638" cy="83943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133350</xdr:rowOff>
    </xdr:from>
    <xdr:to>
      <xdr:col>2</xdr:col>
      <xdr:colOff>535686</xdr:colOff>
      <xdr:row>0</xdr:row>
      <xdr:rowOff>137704</xdr:rowOff>
    </xdr:to>
    <xdr:pic>
      <xdr:nvPicPr>
        <xdr:cNvPr id="10254" name="Picture 1" descr="ISC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33350"/>
          <a:ext cx="8191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428625</xdr:colOff>
      <xdr:row>0</xdr:row>
      <xdr:rowOff>107156</xdr:rowOff>
    </xdr:from>
    <xdr:to>
      <xdr:col>2</xdr:col>
      <xdr:colOff>1226344</xdr:colOff>
      <xdr:row>3</xdr:row>
      <xdr:rowOff>141664</xdr:rowOff>
    </xdr:to>
    <xdr:pic>
      <xdr:nvPicPr>
        <xdr:cNvPr id="4" name="Picture 4" descr="ISC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844" y="107156"/>
          <a:ext cx="797719" cy="98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346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0.45838</cdr:x>
      <cdr:y>0.07852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260647" cy="476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 i="0">
              <a:solidFill>
                <a:srgbClr val="4F81BD">
                  <a:lumMod val="75000"/>
                </a:srgbClr>
              </a:solidFill>
              <a:latin typeface="Khmer OS" pitchFamily="2" charset="0"/>
              <a:cs typeface="Khmer OS" pitchFamily="2" charset="0"/>
            </a:rPr>
            <a:t>សហគមន៍កសិករប្រើប្រាស់ទឹកស្តៅកោង</a:t>
          </a:r>
        </a:p>
      </cdr:txBody>
    </cdr:sp>
  </cdr:relSizeAnchor>
  <cdr:relSizeAnchor xmlns:cdr="http://schemas.openxmlformats.org/drawingml/2006/chartDrawing">
    <cdr:from>
      <cdr:x>0.01608</cdr:x>
      <cdr:y>0.8526</cdr:y>
    </cdr:from>
    <cdr:to>
      <cdr:x>0.08395</cdr:x>
      <cdr:y>0.97837</cdr:y>
    </cdr:to>
    <cdr:pic>
      <cdr:nvPicPr>
        <cdr:cNvPr id="3" name="Picture 1" descr="ISC small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9450" y="5171298"/>
          <a:ext cx="630911" cy="76286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113373</xdr:rowOff>
    </xdr:from>
    <xdr:to>
      <xdr:col>3</xdr:col>
      <xdr:colOff>971550</xdr:colOff>
      <xdr:row>1</xdr:row>
      <xdr:rowOff>428626</xdr:rowOff>
    </xdr:to>
    <xdr:pic>
      <xdr:nvPicPr>
        <xdr:cNvPr id="3104" name="Picture 4" descr="ISC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4494" y="113373"/>
          <a:ext cx="676275" cy="839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21896"/>
    <xdr:ext cx="9295086" cy="63242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0.45838</cdr:x>
      <cdr:y>0.07852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260682" cy="476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 i="0">
              <a:solidFill>
                <a:srgbClr val="4F81BD">
                  <a:lumMod val="75000"/>
                </a:srgbClr>
              </a:solidFill>
              <a:latin typeface="Khmer OS" pitchFamily="2" charset="0"/>
              <a:cs typeface="Khmer OS" pitchFamily="2" charset="0"/>
            </a:rPr>
            <a:t>សហគមន៍កសិករប្រើប្រាស់ទឹកស្តៅកោង</a:t>
          </a:r>
        </a:p>
      </cdr:txBody>
    </cdr:sp>
  </cdr:relSizeAnchor>
  <cdr:relSizeAnchor xmlns:cdr="http://schemas.openxmlformats.org/drawingml/2006/chartDrawing">
    <cdr:from>
      <cdr:x>0.02002</cdr:x>
      <cdr:y>0.10108</cdr:y>
    </cdr:from>
    <cdr:to>
      <cdr:x>0.10266</cdr:x>
      <cdr:y>0.26354</cdr:y>
    </cdr:to>
    <cdr:pic>
      <cdr:nvPicPr>
        <cdr:cNvPr id="3" name="Picture 2" descr="ISC small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6121" y="613102"/>
          <a:ext cx="768092" cy="98534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s.%20MARION%20DUFFIEUX\Desktop\ISC%20Financial%20Management\Stung%20Chinit\FWUCAccountingStCh20j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hR Petty Cash"/>
      <sheetName val="$US Petty Cash"/>
      <sheetName val="$US Bank "/>
      <sheetName val="KhR bank saving"/>
      <sheetName val="KhR bank fixed"/>
      <sheetName val="US$CashAdvance"/>
      <sheetName val="KhR CashAdvance "/>
      <sheetName val="RielAnnualExpenses"/>
      <sheetName val="US$AnnualExpenses"/>
      <sheetName val="FinalStatement"/>
      <sheetName val="Control"/>
    </sheetNames>
    <sheetDataSet>
      <sheetData sheetId="0">
        <row r="5">
          <cell r="D5">
            <v>5000000</v>
          </cell>
        </row>
        <row r="6">
          <cell r="E6">
            <v>78000</v>
          </cell>
          <cell r="G6">
            <v>404</v>
          </cell>
        </row>
        <row r="7">
          <cell r="E7">
            <v>5000</v>
          </cell>
          <cell r="G7">
            <v>405</v>
          </cell>
        </row>
        <row r="8">
          <cell r="E8">
            <v>13500</v>
          </cell>
          <cell r="G8">
            <v>409</v>
          </cell>
        </row>
        <row r="9">
          <cell r="D9">
            <v>30000</v>
          </cell>
          <cell r="G9">
            <v>311</v>
          </cell>
        </row>
      </sheetData>
      <sheetData sheetId="1">
        <row r="5">
          <cell r="D5">
            <v>5000000</v>
          </cell>
        </row>
        <row r="6">
          <cell r="E6">
            <v>78000</v>
          </cell>
          <cell r="G6">
            <v>404</v>
          </cell>
        </row>
        <row r="7">
          <cell r="E7">
            <v>5000</v>
          </cell>
          <cell r="G7">
            <v>405</v>
          </cell>
        </row>
        <row r="8">
          <cell r="E8">
            <v>13500</v>
          </cell>
          <cell r="G8">
            <v>409</v>
          </cell>
        </row>
        <row r="9">
          <cell r="D9">
            <v>30000</v>
          </cell>
          <cell r="G9">
            <v>321</v>
          </cell>
        </row>
        <row r="10">
          <cell r="D10">
            <v>50</v>
          </cell>
          <cell r="G10">
            <v>950</v>
          </cell>
        </row>
      </sheetData>
      <sheetData sheetId="2">
        <row r="5">
          <cell r="D5">
            <v>12000</v>
          </cell>
        </row>
        <row r="7">
          <cell r="E7">
            <v>50</v>
          </cell>
          <cell r="G7">
            <v>950</v>
          </cell>
        </row>
        <row r="8">
          <cell r="E8">
            <v>10</v>
          </cell>
          <cell r="G8">
            <v>901</v>
          </cell>
        </row>
      </sheetData>
      <sheetData sheetId="3">
        <row r="5">
          <cell r="D5">
            <v>230000</v>
          </cell>
        </row>
      </sheetData>
      <sheetData sheetId="4">
        <row r="5">
          <cell r="D5">
            <v>230000</v>
          </cell>
        </row>
        <row r="6">
          <cell r="D6">
            <v>42000</v>
          </cell>
          <cell r="G6">
            <v>902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workbookViewId="0">
      <pane xSplit="1" ySplit="3" topLeftCell="D18" activePane="bottomRight" state="frozen"/>
      <selection pane="topRight" activeCell="B1" sqref="B1"/>
      <selection pane="bottomLeft" activeCell="A4" sqref="A4"/>
      <selection pane="bottomRight" activeCell="L72" sqref="L72"/>
    </sheetView>
  </sheetViews>
  <sheetFormatPr defaultRowHeight="15" outlineLevelRow="1"/>
  <cols>
    <col min="2" max="2" width="9.140625" customWidth="1"/>
    <col min="3" max="3" width="36.42578125" customWidth="1"/>
    <col min="4" max="4" width="4.28515625" customWidth="1"/>
    <col min="5" max="5" width="35.42578125" customWidth="1"/>
    <col min="6" max="6" width="15" customWidth="1"/>
    <col min="7" max="8" width="11.28515625" customWidth="1"/>
    <col min="9" max="10" width="15.7109375" customWidth="1"/>
    <col min="11" max="11" width="7.28515625" customWidth="1"/>
    <col min="12" max="12" width="15.7109375" customWidth="1"/>
  </cols>
  <sheetData>
    <row r="1" spans="1:12">
      <c r="D1" s="80" t="s">
        <v>193</v>
      </c>
    </row>
    <row r="2" spans="1:12" ht="18.75">
      <c r="D2" s="81" t="s">
        <v>264</v>
      </c>
    </row>
    <row r="3" spans="1:12" ht="30">
      <c r="A3" s="93" t="s">
        <v>194</v>
      </c>
      <c r="B3" s="308"/>
      <c r="C3" s="309"/>
      <c r="D3" s="406" t="s">
        <v>195</v>
      </c>
      <c r="E3" s="407"/>
      <c r="F3" s="94" t="s">
        <v>196</v>
      </c>
      <c r="G3" s="94" t="s">
        <v>197</v>
      </c>
      <c r="H3" s="94" t="s">
        <v>198</v>
      </c>
      <c r="I3" s="94" t="s">
        <v>341</v>
      </c>
      <c r="J3" s="94" t="s">
        <v>199</v>
      </c>
      <c r="K3" s="94" t="s">
        <v>200</v>
      </c>
      <c r="L3" s="244" t="s">
        <v>336</v>
      </c>
    </row>
    <row r="4" spans="1:12">
      <c r="A4" s="95" t="s">
        <v>325</v>
      </c>
      <c r="B4" s="295"/>
      <c r="C4" s="281"/>
      <c r="D4" s="295" t="s">
        <v>246</v>
      </c>
      <c r="E4" s="281"/>
      <c r="F4" s="96"/>
      <c r="G4" s="96"/>
      <c r="H4" s="96"/>
      <c r="I4" s="97">
        <f>'Final Statement'!C6</f>
        <v>6626000</v>
      </c>
      <c r="J4" s="98">
        <f>I4</f>
        <v>6626000</v>
      </c>
      <c r="K4" s="96"/>
      <c r="L4" s="98">
        <f>J4</f>
        <v>6626000</v>
      </c>
    </row>
    <row r="5" spans="1:12">
      <c r="A5" s="95" t="s">
        <v>326</v>
      </c>
      <c r="B5" s="295" t="s">
        <v>109</v>
      </c>
      <c r="C5" s="281"/>
      <c r="D5" s="295" t="s">
        <v>245</v>
      </c>
      <c r="E5" s="281"/>
      <c r="F5" s="96"/>
      <c r="G5" s="96"/>
      <c r="H5" s="96"/>
      <c r="I5" s="96"/>
      <c r="J5" s="98">
        <f>SUM(I6:I8)</f>
        <v>0</v>
      </c>
      <c r="K5" s="96"/>
      <c r="L5" s="98">
        <f>SUM(L6:L9)</f>
        <v>0</v>
      </c>
    </row>
    <row r="6" spans="1:12">
      <c r="A6" s="179" t="s">
        <v>293</v>
      </c>
      <c r="B6" s="310"/>
      <c r="C6" s="311" t="s">
        <v>98</v>
      </c>
      <c r="D6" s="296"/>
      <c r="E6" s="282" t="s">
        <v>235</v>
      </c>
      <c r="F6" s="122"/>
      <c r="G6" s="122"/>
      <c r="H6" s="122"/>
      <c r="I6" s="123">
        <v>0</v>
      </c>
      <c r="J6" s="122"/>
      <c r="K6" s="122"/>
      <c r="L6" s="241">
        <f>I6</f>
        <v>0</v>
      </c>
    </row>
    <row r="7" spans="1:12">
      <c r="A7" s="179" t="s">
        <v>329</v>
      </c>
      <c r="B7" s="310"/>
      <c r="C7" s="311" t="s">
        <v>101</v>
      </c>
      <c r="D7" s="296"/>
      <c r="E7" s="282" t="s">
        <v>236</v>
      </c>
      <c r="F7" s="122"/>
      <c r="G7" s="122"/>
      <c r="H7" s="122"/>
      <c r="I7" s="123">
        <v>0</v>
      </c>
      <c r="J7" s="122"/>
      <c r="K7" s="122"/>
      <c r="L7" s="241">
        <f>I7</f>
        <v>0</v>
      </c>
    </row>
    <row r="8" spans="1:12">
      <c r="A8" s="179" t="s">
        <v>330</v>
      </c>
      <c r="B8" s="310"/>
      <c r="C8" s="311" t="s">
        <v>100</v>
      </c>
      <c r="D8" s="296"/>
      <c r="E8" s="282" t="s">
        <v>238</v>
      </c>
      <c r="F8" s="122"/>
      <c r="G8" s="122"/>
      <c r="H8" s="122"/>
      <c r="I8" s="123">
        <v>0</v>
      </c>
      <c r="J8" s="122"/>
      <c r="K8" s="122"/>
      <c r="L8" s="241">
        <f>I8</f>
        <v>0</v>
      </c>
    </row>
    <row r="9" spans="1:12">
      <c r="A9" s="179" t="s">
        <v>331</v>
      </c>
      <c r="B9" s="310"/>
      <c r="C9" s="311" t="s">
        <v>45</v>
      </c>
      <c r="D9" s="296"/>
      <c r="E9" s="282" t="s">
        <v>237</v>
      </c>
      <c r="F9" s="122"/>
      <c r="G9" s="122"/>
      <c r="H9" s="122"/>
      <c r="I9" s="123">
        <v>0</v>
      </c>
      <c r="J9" s="122"/>
      <c r="K9" s="122"/>
      <c r="L9" s="241">
        <f>I9</f>
        <v>0</v>
      </c>
    </row>
    <row r="10" spans="1:12">
      <c r="A10" s="180" t="s">
        <v>249</v>
      </c>
      <c r="B10" s="297" t="s">
        <v>102</v>
      </c>
      <c r="C10" s="283"/>
      <c r="D10" s="297" t="s">
        <v>247</v>
      </c>
      <c r="E10" s="283"/>
      <c r="F10" s="100"/>
      <c r="G10" s="100"/>
      <c r="H10" s="100"/>
      <c r="I10" s="101"/>
      <c r="J10" s="102">
        <f>SUM(I11:I16)</f>
        <v>60060000</v>
      </c>
      <c r="K10" s="100"/>
      <c r="L10" s="102">
        <f>SUM(L11:L16)</f>
        <v>37187600</v>
      </c>
    </row>
    <row r="11" spans="1:12" outlineLevel="1">
      <c r="A11" s="181" t="s">
        <v>265</v>
      </c>
      <c r="B11" s="312"/>
      <c r="C11" s="313" t="s">
        <v>75</v>
      </c>
      <c r="D11" s="298"/>
      <c r="E11" s="284" t="s">
        <v>239</v>
      </c>
      <c r="F11" s="118"/>
      <c r="G11" s="118"/>
      <c r="H11" s="118"/>
      <c r="I11" s="119">
        <f>J68</f>
        <v>33600000</v>
      </c>
      <c r="J11" s="118"/>
      <c r="K11" s="118"/>
      <c r="L11" s="119">
        <f>'Monthly Expenses&amp;Incomes'!J8</f>
        <v>9961200</v>
      </c>
    </row>
    <row r="12" spans="1:12" outlineLevel="1">
      <c r="A12" s="181" t="s">
        <v>266</v>
      </c>
      <c r="B12" s="312"/>
      <c r="C12" s="313" t="s">
        <v>76</v>
      </c>
      <c r="D12" s="298"/>
      <c r="E12" s="284" t="s">
        <v>240</v>
      </c>
      <c r="F12" s="118"/>
      <c r="G12" s="118"/>
      <c r="H12" s="118"/>
      <c r="I12" s="139"/>
      <c r="J12" s="118"/>
      <c r="K12" s="118"/>
      <c r="L12" s="119">
        <f>'Monthly Expenses&amp;Incomes'!J9</f>
        <v>0</v>
      </c>
    </row>
    <row r="13" spans="1:12" outlineLevel="1">
      <c r="A13" s="181" t="s">
        <v>267</v>
      </c>
      <c r="B13" s="312"/>
      <c r="C13" s="313" t="s">
        <v>77</v>
      </c>
      <c r="D13" s="298"/>
      <c r="E13" s="284" t="s">
        <v>241</v>
      </c>
      <c r="F13" s="118"/>
      <c r="G13" s="118"/>
      <c r="H13" s="118"/>
      <c r="I13" s="139"/>
      <c r="J13" s="118"/>
      <c r="K13" s="118"/>
      <c r="L13" s="119">
        <f>'Monthly Expenses&amp;Incomes'!J10</f>
        <v>0</v>
      </c>
    </row>
    <row r="14" spans="1:12" outlineLevel="1">
      <c r="A14" s="181" t="s">
        <v>268</v>
      </c>
      <c r="B14" s="312"/>
      <c r="C14" s="313" t="s">
        <v>78</v>
      </c>
      <c r="D14" s="298"/>
      <c r="E14" s="284" t="s">
        <v>242</v>
      </c>
      <c r="F14" s="118"/>
      <c r="G14" s="118"/>
      <c r="H14" s="118"/>
      <c r="I14" s="139">
        <f>6300*4200</f>
        <v>26460000</v>
      </c>
      <c r="J14" s="118"/>
      <c r="K14" s="118"/>
      <c r="L14" s="119">
        <f>'Monthly Expenses&amp;Incomes'!J11</f>
        <v>26863200</v>
      </c>
    </row>
    <row r="15" spans="1:12" outlineLevel="1">
      <c r="A15" s="181" t="s">
        <v>269</v>
      </c>
      <c r="B15" s="312"/>
      <c r="C15" s="314" t="s">
        <v>79</v>
      </c>
      <c r="D15" s="298"/>
      <c r="E15" s="284" t="s">
        <v>243</v>
      </c>
      <c r="F15" s="118"/>
      <c r="G15" s="118"/>
      <c r="H15" s="118"/>
      <c r="I15" s="139"/>
      <c r="J15" s="118"/>
      <c r="K15" s="118"/>
      <c r="L15" s="119">
        <f>'Monthly Expenses&amp;Incomes'!J12</f>
        <v>363200</v>
      </c>
    </row>
    <row r="16" spans="1:12" outlineLevel="1">
      <c r="A16" s="181" t="s">
        <v>270</v>
      </c>
      <c r="B16" s="312"/>
      <c r="C16" s="313" t="s">
        <v>80</v>
      </c>
      <c r="D16" s="298"/>
      <c r="E16" s="284" t="s">
        <v>244</v>
      </c>
      <c r="F16" s="118"/>
      <c r="G16" s="118"/>
      <c r="H16" s="118"/>
      <c r="I16" s="139"/>
      <c r="J16" s="118"/>
      <c r="K16" s="118"/>
      <c r="L16" s="119">
        <f>'Monthly Expenses&amp;Incomes'!J13</f>
        <v>0</v>
      </c>
    </row>
    <row r="17" spans="1:12">
      <c r="A17" s="103" t="s">
        <v>250</v>
      </c>
      <c r="B17" s="315" t="s">
        <v>103</v>
      </c>
      <c r="C17" s="316"/>
      <c r="D17" s="299" t="s">
        <v>248</v>
      </c>
      <c r="E17" s="285"/>
      <c r="F17" s="104"/>
      <c r="G17" s="104"/>
      <c r="H17" s="104"/>
      <c r="I17" s="105"/>
      <c r="J17" s="105">
        <f>SUM(J18:J39)</f>
        <v>24590000</v>
      </c>
      <c r="K17" s="121">
        <f>SUM(K18:K39)</f>
        <v>1</v>
      </c>
      <c r="L17" s="105">
        <f>SUM(L18,L26,L30,L34)</f>
        <v>16480000</v>
      </c>
    </row>
    <row r="18" spans="1:12">
      <c r="A18" s="182" t="s">
        <v>271</v>
      </c>
      <c r="B18" s="300" t="s">
        <v>104</v>
      </c>
      <c r="C18" s="317"/>
      <c r="D18" s="300" t="s">
        <v>201</v>
      </c>
      <c r="E18" s="286"/>
      <c r="F18" s="85"/>
      <c r="G18" s="85"/>
      <c r="H18" s="85"/>
      <c r="I18" s="85"/>
      <c r="J18" s="86">
        <f>SUM(I19:I25)</f>
        <v>1390000</v>
      </c>
      <c r="K18" s="106">
        <f>J18/$J$17</f>
        <v>5.6527043513623428E-2</v>
      </c>
      <c r="L18" s="86">
        <f>SUM(L19:L25)</f>
        <v>1260000</v>
      </c>
    </row>
    <row r="19" spans="1:12" hidden="1" outlineLevel="1">
      <c r="A19" s="127" t="s">
        <v>272</v>
      </c>
      <c r="B19" s="318"/>
      <c r="C19" s="319" t="s">
        <v>81</v>
      </c>
      <c r="D19" s="301"/>
      <c r="E19" s="287" t="s">
        <v>202</v>
      </c>
      <c r="F19" s="87" t="s">
        <v>203</v>
      </c>
      <c r="G19" s="139">
        <v>140000</v>
      </c>
      <c r="H19" s="139">
        <v>1</v>
      </c>
      <c r="I19" s="88">
        <f t="shared" ref="I19:I25" si="0">G19*H19</f>
        <v>140000</v>
      </c>
      <c r="J19" s="87"/>
      <c r="K19" s="89"/>
      <c r="L19" s="88">
        <f>'Monthly Expenses&amp;Incomes'!J16</f>
        <v>140000</v>
      </c>
    </row>
    <row r="20" spans="1:12" hidden="1" outlineLevel="1">
      <c r="A20" s="127" t="s">
        <v>273</v>
      </c>
      <c r="B20" s="318"/>
      <c r="C20" s="319" t="s">
        <v>82</v>
      </c>
      <c r="D20" s="301"/>
      <c r="E20" s="287" t="s">
        <v>204</v>
      </c>
      <c r="F20" s="87" t="s">
        <v>203</v>
      </c>
      <c r="G20" s="139">
        <v>120000</v>
      </c>
      <c r="H20" s="139">
        <v>3</v>
      </c>
      <c r="I20" s="88">
        <f t="shared" si="0"/>
        <v>360000</v>
      </c>
      <c r="J20" s="87"/>
      <c r="K20" s="89"/>
      <c r="L20" s="88">
        <f>'Monthly Expenses&amp;Incomes'!J17</f>
        <v>390000</v>
      </c>
    </row>
    <row r="21" spans="1:12" hidden="1" outlineLevel="1">
      <c r="A21" s="127" t="s">
        <v>274</v>
      </c>
      <c r="B21" s="318"/>
      <c r="C21" s="319" t="s">
        <v>81</v>
      </c>
      <c r="D21" s="301"/>
      <c r="E21" s="287" t="s">
        <v>205</v>
      </c>
      <c r="F21" s="87" t="s">
        <v>203</v>
      </c>
      <c r="G21" s="139">
        <v>100000</v>
      </c>
      <c r="H21" s="139">
        <v>4</v>
      </c>
      <c r="I21" s="88">
        <f t="shared" si="0"/>
        <v>400000</v>
      </c>
      <c r="J21" s="87"/>
      <c r="K21" s="89"/>
      <c r="L21" s="88">
        <f>'Monthly Expenses&amp;Incomes'!J18</f>
        <v>300000</v>
      </c>
    </row>
    <row r="22" spans="1:12" hidden="1" outlineLevel="1">
      <c r="A22" s="127" t="s">
        <v>275</v>
      </c>
      <c r="B22" s="318"/>
      <c r="C22" s="319" t="s">
        <v>83</v>
      </c>
      <c r="D22" s="301"/>
      <c r="E22" s="287" t="s">
        <v>206</v>
      </c>
      <c r="F22" s="87" t="s">
        <v>203</v>
      </c>
      <c r="G22" s="139">
        <v>80000</v>
      </c>
      <c r="H22" s="139">
        <v>4</v>
      </c>
      <c r="I22" s="88">
        <f t="shared" si="0"/>
        <v>320000</v>
      </c>
      <c r="J22" s="87"/>
      <c r="K22" s="89"/>
      <c r="L22" s="88">
        <f>'Monthly Expenses&amp;Incomes'!J19</f>
        <v>300000</v>
      </c>
    </row>
    <row r="23" spans="1:12" hidden="1" outlineLevel="1">
      <c r="A23" s="127" t="s">
        <v>276</v>
      </c>
      <c r="B23" s="318"/>
      <c r="C23" s="319" t="s">
        <v>84</v>
      </c>
      <c r="D23" s="301"/>
      <c r="E23" s="287" t="s">
        <v>207</v>
      </c>
      <c r="F23" s="87" t="s">
        <v>203</v>
      </c>
      <c r="G23" s="139">
        <v>30000</v>
      </c>
      <c r="H23" s="139">
        <v>1</v>
      </c>
      <c r="I23" s="88">
        <f t="shared" si="0"/>
        <v>30000</v>
      </c>
      <c r="J23" s="87"/>
      <c r="K23" s="89"/>
      <c r="L23" s="88">
        <f>'Monthly Expenses&amp;Incomes'!J20</f>
        <v>100000</v>
      </c>
    </row>
    <row r="24" spans="1:12" hidden="1" outlineLevel="1">
      <c r="A24" s="127" t="s">
        <v>277</v>
      </c>
      <c r="B24" s="318"/>
      <c r="C24" s="319" t="s">
        <v>85</v>
      </c>
      <c r="D24" s="301"/>
      <c r="E24" s="287" t="s">
        <v>208</v>
      </c>
      <c r="F24" s="87" t="s">
        <v>203</v>
      </c>
      <c r="G24" s="139">
        <v>30000</v>
      </c>
      <c r="H24" s="139">
        <v>4</v>
      </c>
      <c r="I24" s="88">
        <f t="shared" si="0"/>
        <v>120000</v>
      </c>
      <c r="J24" s="87"/>
      <c r="K24" s="89"/>
      <c r="L24" s="88">
        <f>'Monthly Expenses&amp;Incomes'!J21</f>
        <v>0</v>
      </c>
    </row>
    <row r="25" spans="1:12" hidden="1" outlineLevel="1">
      <c r="A25" s="127" t="s">
        <v>278</v>
      </c>
      <c r="B25" s="318"/>
      <c r="C25" s="319" t="s">
        <v>86</v>
      </c>
      <c r="D25" s="301"/>
      <c r="E25" s="287" t="s">
        <v>209</v>
      </c>
      <c r="F25" s="87" t="s">
        <v>203</v>
      </c>
      <c r="G25" s="139">
        <v>20000</v>
      </c>
      <c r="H25" s="139">
        <v>1</v>
      </c>
      <c r="I25" s="88">
        <f t="shared" si="0"/>
        <v>20000</v>
      </c>
      <c r="J25" s="87"/>
      <c r="K25" s="90"/>
      <c r="L25" s="88">
        <f>'Monthly Expenses&amp;Incomes'!J22</f>
        <v>30000</v>
      </c>
    </row>
    <row r="26" spans="1:12" collapsed="1">
      <c r="A26" s="182" t="s">
        <v>279</v>
      </c>
      <c r="B26" s="404" t="s">
        <v>337</v>
      </c>
      <c r="C26" s="405"/>
      <c r="D26" s="300" t="s">
        <v>338</v>
      </c>
      <c r="E26" s="286"/>
      <c r="F26" s="85"/>
      <c r="G26" s="135"/>
      <c r="H26" s="136"/>
      <c r="I26" s="85"/>
      <c r="J26" s="86">
        <f>SUM(I27:I29)</f>
        <v>1680000</v>
      </c>
      <c r="K26" s="106">
        <f>J26/$J$17</f>
        <v>6.8320455469703126E-2</v>
      </c>
      <c r="L26" s="86">
        <f>SUM(L27:L29)</f>
        <v>2122500</v>
      </c>
    </row>
    <row r="27" spans="1:12" hidden="1" outlineLevel="1">
      <c r="A27" s="127" t="s">
        <v>280</v>
      </c>
      <c r="B27" s="318"/>
      <c r="C27" s="319" t="s">
        <v>87</v>
      </c>
      <c r="D27" s="301"/>
      <c r="E27" s="287" t="s">
        <v>210</v>
      </c>
      <c r="F27" s="87" t="s">
        <v>211</v>
      </c>
      <c r="G27" s="139">
        <v>4000</v>
      </c>
      <c r="H27" s="139">
        <v>45</v>
      </c>
      <c r="I27" s="91">
        <f>G27*H27</f>
        <v>180000</v>
      </c>
      <c r="J27" s="87"/>
      <c r="K27" s="89"/>
      <c r="L27" s="88">
        <f>'Monthly Expenses&amp;Incomes'!J24</f>
        <v>426000</v>
      </c>
    </row>
    <row r="28" spans="1:12" hidden="1" outlineLevel="1">
      <c r="A28" s="127" t="s">
        <v>281</v>
      </c>
      <c r="B28" s="318"/>
      <c r="C28" s="319" t="s">
        <v>88</v>
      </c>
      <c r="D28" s="301"/>
      <c r="E28" s="287" t="s">
        <v>212</v>
      </c>
      <c r="F28" s="87" t="s">
        <v>213</v>
      </c>
      <c r="G28" s="139">
        <v>100000</v>
      </c>
      <c r="H28" s="139">
        <v>5</v>
      </c>
      <c r="I28" s="92">
        <f>G28*H28</f>
        <v>500000</v>
      </c>
      <c r="J28" s="87"/>
      <c r="K28" s="89"/>
      <c r="L28" s="88">
        <f>'Monthly Expenses&amp;Incomes'!J25</f>
        <v>696500</v>
      </c>
    </row>
    <row r="29" spans="1:12" hidden="1" outlineLevel="1">
      <c r="A29" s="127" t="s">
        <v>282</v>
      </c>
      <c r="B29" s="318"/>
      <c r="C29" s="319" t="s">
        <v>89</v>
      </c>
      <c r="D29" s="301"/>
      <c r="E29" s="287" t="s">
        <v>214</v>
      </c>
      <c r="F29" s="87" t="s">
        <v>215</v>
      </c>
      <c r="G29" s="139">
        <v>100000</v>
      </c>
      <c r="H29" s="139">
        <v>10</v>
      </c>
      <c r="I29" s="88">
        <f>G29*H29</f>
        <v>1000000</v>
      </c>
      <c r="J29" s="87"/>
      <c r="K29" s="90"/>
      <c r="L29" s="88">
        <f>'Monthly Expenses&amp;Incomes'!J26</f>
        <v>1000000</v>
      </c>
    </row>
    <row r="30" spans="1:12" collapsed="1">
      <c r="A30" s="182" t="s">
        <v>283</v>
      </c>
      <c r="B30" s="300" t="s">
        <v>105</v>
      </c>
      <c r="C30" s="317"/>
      <c r="D30" s="300" t="s">
        <v>216</v>
      </c>
      <c r="E30" s="286"/>
      <c r="F30" s="85"/>
      <c r="G30" s="135"/>
      <c r="H30" s="136"/>
      <c r="I30" s="85"/>
      <c r="J30" s="86">
        <f>SUM(I31:I33)</f>
        <v>13510000</v>
      </c>
      <c r="K30" s="106">
        <f>J30/$J$17</f>
        <v>0.54941032940219603</v>
      </c>
      <c r="L30" s="86">
        <f>SUM(L31:L33)</f>
        <v>10203500</v>
      </c>
    </row>
    <row r="31" spans="1:12" hidden="1" outlineLevel="1">
      <c r="A31" s="127" t="s">
        <v>284</v>
      </c>
      <c r="B31" s="318"/>
      <c r="C31" s="319" t="s">
        <v>90</v>
      </c>
      <c r="D31" s="301"/>
      <c r="E31" s="287" t="s">
        <v>217</v>
      </c>
      <c r="F31" s="87" t="s">
        <v>218</v>
      </c>
      <c r="G31" s="139">
        <v>5000</v>
      </c>
      <c r="H31" s="139">
        <v>40</v>
      </c>
      <c r="I31" s="88">
        <f>G31*H31</f>
        <v>200000</v>
      </c>
      <c r="J31" s="87"/>
      <c r="K31" s="89"/>
      <c r="L31" s="88">
        <f>'Monthly Expenses&amp;Incomes'!J28</f>
        <v>132000</v>
      </c>
    </row>
    <row r="32" spans="1:12" hidden="1" outlineLevel="1">
      <c r="A32" s="127" t="s">
        <v>285</v>
      </c>
      <c r="B32" s="318"/>
      <c r="C32" s="319" t="s">
        <v>91</v>
      </c>
      <c r="D32" s="301"/>
      <c r="E32" s="287" t="s">
        <v>219</v>
      </c>
      <c r="F32" s="87" t="s">
        <v>220</v>
      </c>
      <c r="G32" s="139">
        <v>92000</v>
      </c>
      <c r="H32" s="139">
        <v>140</v>
      </c>
      <c r="I32" s="88">
        <f>G32*H32</f>
        <v>12880000</v>
      </c>
      <c r="J32" s="87"/>
      <c r="K32" s="89"/>
      <c r="L32" s="88">
        <f>'Monthly Expenses&amp;Incomes'!J29</f>
        <v>9771500</v>
      </c>
    </row>
    <row r="33" spans="1:12" hidden="1" outlineLevel="1">
      <c r="A33" s="127" t="s">
        <v>286</v>
      </c>
      <c r="B33" s="318"/>
      <c r="C33" s="319" t="s">
        <v>92</v>
      </c>
      <c r="D33" s="301"/>
      <c r="E33" s="287" t="s">
        <v>221</v>
      </c>
      <c r="F33" s="87" t="s">
        <v>222</v>
      </c>
      <c r="G33" s="139">
        <v>86000</v>
      </c>
      <c r="H33" s="139">
        <v>5</v>
      </c>
      <c r="I33" s="88">
        <f>G33*H33</f>
        <v>430000</v>
      </c>
      <c r="J33" s="87"/>
      <c r="K33" s="89"/>
      <c r="L33" s="88">
        <f>'Monthly Expenses&amp;Incomes'!J30</f>
        <v>300000</v>
      </c>
    </row>
    <row r="34" spans="1:12" collapsed="1">
      <c r="A34" s="182" t="s">
        <v>287</v>
      </c>
      <c r="B34" s="300" t="s">
        <v>106</v>
      </c>
      <c r="C34" s="317"/>
      <c r="D34" s="300" t="s">
        <v>223</v>
      </c>
      <c r="E34" s="286"/>
      <c r="F34" s="85"/>
      <c r="G34" s="135"/>
      <c r="H34" s="136"/>
      <c r="I34" s="85"/>
      <c r="J34" s="86">
        <f>SUM(I35:I39)</f>
        <v>8010000</v>
      </c>
      <c r="K34" s="106">
        <f>J34/$J$17</f>
        <v>0.32574217161447744</v>
      </c>
      <c r="L34" s="86">
        <f>SUM(L35:L39)</f>
        <v>2894000</v>
      </c>
    </row>
    <row r="35" spans="1:12" hidden="1" outlineLevel="1">
      <c r="A35" s="127" t="s">
        <v>288</v>
      </c>
      <c r="B35" s="318"/>
      <c r="C35" s="319" t="s">
        <v>93</v>
      </c>
      <c r="D35" s="301"/>
      <c r="E35" s="287" t="s">
        <v>224</v>
      </c>
      <c r="F35" s="87" t="s">
        <v>225</v>
      </c>
      <c r="G35" s="139">
        <v>250000</v>
      </c>
      <c r="H35" s="139">
        <v>4</v>
      </c>
      <c r="I35" s="88">
        <f>G35*H35</f>
        <v>1000000</v>
      </c>
      <c r="J35" s="87"/>
      <c r="K35" s="89"/>
      <c r="L35" s="88">
        <f>'Monthly Expenses&amp;Incomes'!J32</f>
        <v>995000</v>
      </c>
    </row>
    <row r="36" spans="1:12" hidden="1" outlineLevel="1">
      <c r="A36" s="127" t="s">
        <v>289</v>
      </c>
      <c r="B36" s="318"/>
      <c r="C36" s="319" t="s">
        <v>94</v>
      </c>
      <c r="D36" s="301"/>
      <c r="E36" s="287" t="s">
        <v>226</v>
      </c>
      <c r="F36" s="87" t="s">
        <v>227</v>
      </c>
      <c r="G36" s="139">
        <v>5000</v>
      </c>
      <c r="H36" s="139">
        <v>1000</v>
      </c>
      <c r="I36" s="88">
        <f>G36*H36</f>
        <v>5000000</v>
      </c>
      <c r="J36" s="87"/>
      <c r="K36" s="89"/>
      <c r="L36" s="88">
        <f>'Monthly Expenses&amp;Incomes'!J33</f>
        <v>50000</v>
      </c>
    </row>
    <row r="37" spans="1:12" hidden="1" outlineLevel="1">
      <c r="A37" s="127" t="s">
        <v>290</v>
      </c>
      <c r="B37" s="318"/>
      <c r="C37" s="319" t="s">
        <v>95</v>
      </c>
      <c r="D37" s="301"/>
      <c r="E37" s="287" t="s">
        <v>228</v>
      </c>
      <c r="F37" s="87" t="s">
        <v>229</v>
      </c>
      <c r="G37" s="139">
        <v>100000</v>
      </c>
      <c r="H37" s="139">
        <v>15</v>
      </c>
      <c r="I37" s="88">
        <f>G37*H37</f>
        <v>1500000</v>
      </c>
      <c r="J37" s="87"/>
      <c r="K37" s="89"/>
      <c r="L37" s="88">
        <f>'Monthly Expenses&amp;Incomes'!J34</f>
        <v>1567000</v>
      </c>
    </row>
    <row r="38" spans="1:12" hidden="1" outlineLevel="1">
      <c r="A38" s="127" t="s">
        <v>291</v>
      </c>
      <c r="B38" s="318"/>
      <c r="C38" s="319" t="s">
        <v>96</v>
      </c>
      <c r="D38" s="301"/>
      <c r="E38" s="287" t="s">
        <v>230</v>
      </c>
      <c r="F38" s="87" t="s">
        <v>231</v>
      </c>
      <c r="G38" s="139">
        <v>10000</v>
      </c>
      <c r="H38" s="139">
        <v>15</v>
      </c>
      <c r="I38" s="88">
        <f>G38*H38</f>
        <v>150000</v>
      </c>
      <c r="J38" s="87"/>
      <c r="K38" s="89"/>
      <c r="L38" s="88">
        <f>'Monthly Expenses&amp;Incomes'!J35</f>
        <v>60000</v>
      </c>
    </row>
    <row r="39" spans="1:12" hidden="1" outlineLevel="1">
      <c r="A39" s="127" t="s">
        <v>292</v>
      </c>
      <c r="B39" s="318"/>
      <c r="C39" s="319" t="s">
        <v>97</v>
      </c>
      <c r="D39" s="301"/>
      <c r="E39" s="287" t="s">
        <v>232</v>
      </c>
      <c r="F39" s="87" t="s">
        <v>233</v>
      </c>
      <c r="G39" s="139">
        <v>30000</v>
      </c>
      <c r="H39" s="139">
        <v>12</v>
      </c>
      <c r="I39" s="88">
        <f>G39*H39</f>
        <v>360000</v>
      </c>
      <c r="J39" s="87"/>
      <c r="K39" s="89"/>
      <c r="L39" s="88">
        <f>'Monthly Expenses&amp;Incomes'!J36</f>
        <v>222000</v>
      </c>
    </row>
    <row r="40" spans="1:12" collapsed="1">
      <c r="A40" s="107" t="s">
        <v>251</v>
      </c>
      <c r="B40" s="302" t="s">
        <v>108</v>
      </c>
      <c r="C40" s="320"/>
      <c r="D40" s="302" t="s">
        <v>332</v>
      </c>
      <c r="E40" s="288"/>
      <c r="F40" s="108"/>
      <c r="G40" s="137"/>
      <c r="H40" s="137"/>
      <c r="I40" s="109"/>
      <c r="J40" s="120">
        <f>SUM(I41:I44)</f>
        <v>0</v>
      </c>
      <c r="K40" s="110"/>
      <c r="L40" s="120">
        <f>SUM(L41:L44)</f>
        <v>0</v>
      </c>
    </row>
    <row r="41" spans="1:12" hidden="1" outlineLevel="1">
      <c r="A41" s="183" t="s">
        <v>294</v>
      </c>
      <c r="B41" s="321"/>
      <c r="C41" s="322" t="s">
        <v>98</v>
      </c>
      <c r="D41" s="303"/>
      <c r="E41" s="289" t="s">
        <v>235</v>
      </c>
      <c r="F41" s="124"/>
      <c r="G41" s="140"/>
      <c r="H41" s="140"/>
      <c r="I41" s="141">
        <v>0</v>
      </c>
      <c r="J41" s="124"/>
      <c r="K41" s="125"/>
      <c r="L41" s="242">
        <f>'Monthly Expenses&amp;Incomes'!J38</f>
        <v>0</v>
      </c>
    </row>
    <row r="42" spans="1:12" hidden="1" outlineLevel="1">
      <c r="A42" s="183" t="s">
        <v>295</v>
      </c>
      <c r="B42" s="321"/>
      <c r="C42" s="322" t="s">
        <v>99</v>
      </c>
      <c r="D42" s="303"/>
      <c r="E42" s="289" t="s">
        <v>236</v>
      </c>
      <c r="F42" s="124"/>
      <c r="G42" s="140"/>
      <c r="H42" s="140"/>
      <c r="I42" s="141">
        <f>G42*H42</f>
        <v>0</v>
      </c>
      <c r="J42" s="124"/>
      <c r="K42" s="125"/>
      <c r="L42" s="242">
        <f>'Monthly Expenses&amp;Incomes'!J39</f>
        <v>0</v>
      </c>
    </row>
    <row r="43" spans="1:12" hidden="1" outlineLevel="1">
      <c r="A43" s="183" t="s">
        <v>296</v>
      </c>
      <c r="B43" s="303"/>
      <c r="C43" s="289" t="s">
        <v>107</v>
      </c>
      <c r="D43" s="303"/>
      <c r="E43" s="289" t="s">
        <v>234</v>
      </c>
      <c r="F43" s="124"/>
      <c r="G43" s="139"/>
      <c r="H43" s="139"/>
      <c r="I43" s="141">
        <f>G43*H43</f>
        <v>0</v>
      </c>
      <c r="J43" s="128"/>
      <c r="K43" s="126"/>
      <c r="L43" s="242">
        <f>'Monthly Expenses&amp;Incomes'!J40</f>
        <v>0</v>
      </c>
    </row>
    <row r="44" spans="1:12" hidden="1" outlineLevel="1">
      <c r="A44" s="184" t="s">
        <v>299</v>
      </c>
      <c r="B44" s="304"/>
      <c r="C44" s="323"/>
      <c r="D44" s="304"/>
      <c r="E44" s="290" t="s">
        <v>255</v>
      </c>
      <c r="F44" s="129"/>
      <c r="G44" s="140"/>
      <c r="H44" s="140"/>
      <c r="I44" s="141">
        <f>G44*H44</f>
        <v>0</v>
      </c>
      <c r="J44" s="129"/>
      <c r="K44" s="130"/>
      <c r="L44" s="243">
        <f>'Monthly Expenses&amp;Incomes'!J41</f>
        <v>0</v>
      </c>
    </row>
    <row r="45" spans="1:12" collapsed="1">
      <c r="A45" s="113" t="s">
        <v>252</v>
      </c>
      <c r="B45" s="305" t="s">
        <v>109</v>
      </c>
      <c r="C45" s="324"/>
      <c r="D45" s="305" t="s">
        <v>333</v>
      </c>
      <c r="E45" s="291"/>
      <c r="F45" s="114"/>
      <c r="G45" s="138"/>
      <c r="H45" s="138"/>
      <c r="I45" s="114"/>
      <c r="J45" s="115">
        <f>SUM(I46:I49)</f>
        <v>9830000</v>
      </c>
      <c r="K45" s="116"/>
      <c r="L45" s="115">
        <f>SUM(L46:L49)</f>
        <v>0</v>
      </c>
    </row>
    <row r="46" spans="1:12">
      <c r="A46" s="185" t="s">
        <v>297</v>
      </c>
      <c r="B46" s="325"/>
      <c r="C46" s="326" t="s">
        <v>98</v>
      </c>
      <c r="D46" s="306"/>
      <c r="E46" s="292" t="s">
        <v>235</v>
      </c>
      <c r="F46" s="111"/>
      <c r="G46" s="140"/>
      <c r="H46" s="140"/>
      <c r="I46" s="139">
        <v>150000</v>
      </c>
      <c r="J46" s="111"/>
      <c r="K46" s="117"/>
      <c r="L46" s="139"/>
    </row>
    <row r="47" spans="1:12">
      <c r="A47" s="185" t="s">
        <v>298</v>
      </c>
      <c r="B47" s="325"/>
      <c r="C47" s="326" t="s">
        <v>101</v>
      </c>
      <c r="D47" s="306"/>
      <c r="E47" s="292" t="s">
        <v>236</v>
      </c>
      <c r="F47" s="111"/>
      <c r="G47" s="140"/>
      <c r="H47" s="140"/>
      <c r="I47" s="139">
        <v>4000000</v>
      </c>
      <c r="J47" s="111"/>
      <c r="K47" s="112"/>
      <c r="L47" s="139"/>
    </row>
    <row r="48" spans="1:12">
      <c r="A48" s="185" t="s">
        <v>300</v>
      </c>
      <c r="B48" s="325"/>
      <c r="C48" s="326" t="s">
        <v>100</v>
      </c>
      <c r="D48" s="306"/>
      <c r="E48" s="292" t="s">
        <v>238</v>
      </c>
      <c r="F48" s="111"/>
      <c r="G48" s="140"/>
      <c r="H48" s="140"/>
      <c r="I48" s="139">
        <v>2000000</v>
      </c>
      <c r="J48" s="111"/>
      <c r="K48" s="112"/>
      <c r="L48" s="139"/>
    </row>
    <row r="49" spans="1:12">
      <c r="A49" s="185" t="s">
        <v>301</v>
      </c>
      <c r="B49" s="325"/>
      <c r="C49" s="326" t="s">
        <v>45</v>
      </c>
      <c r="D49" s="306"/>
      <c r="E49" s="292" t="s">
        <v>237</v>
      </c>
      <c r="F49" s="111" t="s">
        <v>220</v>
      </c>
      <c r="G49" s="139">
        <v>92000</v>
      </c>
      <c r="H49" s="139">
        <v>40</v>
      </c>
      <c r="I49" s="139">
        <f>G49*H49</f>
        <v>3680000</v>
      </c>
      <c r="J49" s="111"/>
      <c r="K49" s="112"/>
      <c r="L49" s="139"/>
    </row>
    <row r="50" spans="1:12">
      <c r="A50" s="95" t="s">
        <v>327</v>
      </c>
      <c r="B50" s="295" t="s">
        <v>109</v>
      </c>
      <c r="C50" s="281"/>
      <c r="D50" s="295" t="s">
        <v>302</v>
      </c>
      <c r="E50" s="281"/>
      <c r="F50" s="96"/>
      <c r="G50" s="96"/>
      <c r="H50" s="96"/>
      <c r="I50" s="96"/>
      <c r="J50" s="98">
        <f>SUM(I51:I54)</f>
        <v>9830000</v>
      </c>
      <c r="K50" s="96"/>
      <c r="L50" s="98">
        <f>SUM(L51:L54)</f>
        <v>0</v>
      </c>
    </row>
    <row r="51" spans="1:12">
      <c r="A51" s="186" t="s">
        <v>293</v>
      </c>
      <c r="B51" s="327"/>
      <c r="C51" s="328" t="s">
        <v>98</v>
      </c>
      <c r="D51" s="307"/>
      <c r="E51" s="293" t="s">
        <v>235</v>
      </c>
      <c r="F51" s="99"/>
      <c r="G51" s="99"/>
      <c r="H51" s="99"/>
      <c r="I51" s="178">
        <f>I6-I41+I46</f>
        <v>150000</v>
      </c>
      <c r="J51" s="99"/>
      <c r="K51" s="99"/>
      <c r="L51" s="178">
        <f>L6-L41+L46</f>
        <v>0</v>
      </c>
    </row>
    <row r="52" spans="1:12">
      <c r="A52" s="186" t="s">
        <v>329</v>
      </c>
      <c r="B52" s="327"/>
      <c r="C52" s="328" t="s">
        <v>101</v>
      </c>
      <c r="D52" s="307"/>
      <c r="E52" s="294" t="s">
        <v>236</v>
      </c>
      <c r="F52" s="99"/>
      <c r="G52" s="99"/>
      <c r="H52" s="99"/>
      <c r="I52" s="178">
        <f>I7-I42+I47</f>
        <v>4000000</v>
      </c>
      <c r="J52" s="99"/>
      <c r="K52" s="99"/>
      <c r="L52" s="178">
        <f>L7-L42+L47</f>
        <v>0</v>
      </c>
    </row>
    <row r="53" spans="1:12">
      <c r="A53" s="186" t="s">
        <v>330</v>
      </c>
      <c r="B53" s="327"/>
      <c r="C53" s="328" t="s">
        <v>100</v>
      </c>
      <c r="D53" s="307"/>
      <c r="E53" s="293" t="s">
        <v>238</v>
      </c>
      <c r="F53" s="99"/>
      <c r="G53" s="99"/>
      <c r="H53" s="99"/>
      <c r="I53" s="178">
        <f>I8-I43+I48</f>
        <v>2000000</v>
      </c>
      <c r="J53" s="99"/>
      <c r="K53" s="99"/>
      <c r="L53" s="178">
        <f>L8-L43+L48</f>
        <v>0</v>
      </c>
    </row>
    <row r="54" spans="1:12">
      <c r="A54" s="186" t="s">
        <v>331</v>
      </c>
      <c r="B54" s="327"/>
      <c r="C54" s="328" t="s">
        <v>45</v>
      </c>
      <c r="D54" s="307"/>
      <c r="E54" s="293" t="s">
        <v>237</v>
      </c>
      <c r="F54" s="99"/>
      <c r="G54" s="99"/>
      <c r="H54" s="99"/>
      <c r="I54" s="178">
        <f>I9-I44+I49</f>
        <v>3680000</v>
      </c>
      <c r="J54" s="99"/>
      <c r="K54" s="99"/>
      <c r="L54" s="178">
        <f>L9-L44+L49</f>
        <v>0</v>
      </c>
    </row>
    <row r="55" spans="1:12">
      <c r="A55" s="95" t="s">
        <v>328</v>
      </c>
      <c r="B55" s="295"/>
      <c r="C55" s="329"/>
      <c r="D55" s="295" t="s">
        <v>303</v>
      </c>
      <c r="E55" s="281"/>
      <c r="F55" s="96"/>
      <c r="G55" s="96"/>
      <c r="H55" s="96"/>
      <c r="I55" s="98"/>
      <c r="J55" s="98">
        <f>J4+J10-J17-J40-J45</f>
        <v>32266000</v>
      </c>
      <c r="K55" s="96"/>
      <c r="L55" s="98">
        <f>L4+L5+L10-L17-L40-L50</f>
        <v>27333600</v>
      </c>
    </row>
    <row r="57" spans="1:12">
      <c r="A57" s="133"/>
      <c r="B57" s="133"/>
      <c r="D57" s="133" t="s">
        <v>262</v>
      </c>
    </row>
    <row r="58" spans="1:12" ht="19.5" customHeight="1">
      <c r="A58" s="187"/>
      <c r="B58" s="187"/>
      <c r="C58" s="187"/>
      <c r="D58" s="187" t="s">
        <v>256</v>
      </c>
      <c r="E58" s="187"/>
      <c r="F58" s="187" t="s">
        <v>304</v>
      </c>
      <c r="G58" s="187"/>
      <c r="H58" s="187"/>
      <c r="I58" s="187"/>
      <c r="J58" s="188">
        <f>SUM(J4:J5)</f>
        <v>6626000</v>
      </c>
      <c r="K58" s="187"/>
      <c r="L58" s="188">
        <f>SUM(L4:L5)</f>
        <v>6626000</v>
      </c>
    </row>
    <row r="59" spans="1:12" ht="19.5" customHeight="1">
      <c r="A59" s="189"/>
      <c r="B59" s="189"/>
      <c r="C59" s="189"/>
      <c r="D59" s="189" t="s">
        <v>258</v>
      </c>
      <c r="E59" s="189"/>
      <c r="F59" s="189" t="s">
        <v>259</v>
      </c>
      <c r="G59" s="189"/>
      <c r="H59" s="189"/>
      <c r="I59" s="189"/>
      <c r="J59" s="190">
        <f>J10-J17-J40</f>
        <v>35470000</v>
      </c>
      <c r="K59" s="189"/>
      <c r="L59" s="190">
        <f>L10-L17-L40</f>
        <v>20707600</v>
      </c>
    </row>
    <row r="60" spans="1:12" ht="19.5" customHeight="1">
      <c r="A60" s="187"/>
      <c r="B60" s="187"/>
      <c r="C60" s="187"/>
      <c r="D60" s="187" t="s">
        <v>257</v>
      </c>
      <c r="E60" s="187"/>
      <c r="F60" s="187" t="s">
        <v>305</v>
      </c>
      <c r="G60" s="187"/>
      <c r="H60" s="187"/>
      <c r="I60" s="187"/>
      <c r="J60" s="188">
        <f>SUM(J50,J55)</f>
        <v>42096000</v>
      </c>
      <c r="K60" s="187"/>
      <c r="L60" s="188">
        <f>SUM(L50,L55)</f>
        <v>27333600</v>
      </c>
    </row>
    <row r="61" spans="1:12">
      <c r="A61" s="131"/>
      <c r="B61" s="131"/>
      <c r="C61" s="131"/>
      <c r="D61" s="131"/>
      <c r="E61" s="131"/>
      <c r="F61" s="131"/>
      <c r="G61" s="131"/>
      <c r="H61" s="131"/>
      <c r="I61" s="131"/>
      <c r="J61" s="132">
        <f>J60-J59-J58</f>
        <v>0</v>
      </c>
      <c r="K61" s="131"/>
      <c r="L61" s="132">
        <f>L60-L59-L58</f>
        <v>0</v>
      </c>
    </row>
    <row r="62" spans="1:12">
      <c r="A62" s="134"/>
      <c r="B62" s="134"/>
      <c r="C62" s="131"/>
      <c r="D62" s="134" t="s">
        <v>263</v>
      </c>
      <c r="E62" s="131"/>
      <c r="F62" s="131"/>
      <c r="G62" s="131"/>
      <c r="H62" s="131"/>
      <c r="I62" s="131"/>
      <c r="J62" s="131"/>
      <c r="K62" s="131"/>
      <c r="L62" s="131"/>
    </row>
    <row r="63" spans="1:12" ht="20.25" customHeight="1">
      <c r="A63" s="191"/>
      <c r="B63" s="191"/>
      <c r="C63" s="191"/>
      <c r="D63" s="191" t="s">
        <v>260</v>
      </c>
      <c r="E63" s="191"/>
      <c r="F63" s="191" t="s">
        <v>306</v>
      </c>
      <c r="G63" s="191"/>
      <c r="H63" s="191"/>
      <c r="I63" s="191"/>
      <c r="J63" s="192">
        <f>SUM(J4:J5,J10)</f>
        <v>66686000</v>
      </c>
      <c r="K63" s="191"/>
      <c r="L63" s="192">
        <f>SUM(L4:L5,L10)</f>
        <v>43813600</v>
      </c>
    </row>
    <row r="64" spans="1:12" ht="20.25" customHeight="1">
      <c r="A64" s="193"/>
      <c r="B64" s="193"/>
      <c r="C64" s="193"/>
      <c r="D64" s="193" t="s">
        <v>261</v>
      </c>
      <c r="E64" s="193"/>
      <c r="F64" s="193" t="s">
        <v>307</v>
      </c>
      <c r="G64" s="193"/>
      <c r="H64" s="193"/>
      <c r="I64" s="193"/>
      <c r="J64" s="194">
        <f>SUM(J17,J40,J50,J55)</f>
        <v>66686000</v>
      </c>
      <c r="K64" s="193"/>
      <c r="L64" s="194">
        <f>SUM(L17,L40,L50,L55)</f>
        <v>43813600</v>
      </c>
    </row>
    <row r="65" spans="1:12">
      <c r="J65" s="46">
        <f>J63-J64</f>
        <v>0</v>
      </c>
      <c r="L65" s="46">
        <f>L63-L64</f>
        <v>0</v>
      </c>
    </row>
    <row r="67" spans="1:12" s="80" customFormat="1" ht="25.5" customHeight="1">
      <c r="A67" s="195"/>
      <c r="B67" s="195"/>
      <c r="C67" s="195"/>
      <c r="D67" s="195" t="s">
        <v>308</v>
      </c>
      <c r="E67" s="195"/>
      <c r="F67" s="195" t="s">
        <v>309</v>
      </c>
      <c r="G67" s="195"/>
      <c r="H67" s="195"/>
      <c r="I67" s="195"/>
      <c r="J67" s="196">
        <f>J17+J45</f>
        <v>34420000</v>
      </c>
      <c r="K67" s="195"/>
      <c r="L67" s="196">
        <f>L17+L45</f>
        <v>16480000</v>
      </c>
    </row>
    <row r="68" spans="1:12" s="80" customFormat="1" ht="25.5" customHeight="1">
      <c r="A68" s="197"/>
      <c r="B68" s="197"/>
      <c r="C68" s="197"/>
      <c r="D68" s="197" t="s">
        <v>312</v>
      </c>
      <c r="E68" s="197"/>
      <c r="F68" s="197"/>
      <c r="G68" s="197"/>
      <c r="H68" s="197"/>
      <c r="I68" s="197"/>
      <c r="J68" s="198">
        <f>SUM(I69:I71)</f>
        <v>33600000</v>
      </c>
      <c r="K68" s="197"/>
      <c r="L68" s="198">
        <f>L11</f>
        <v>9961200</v>
      </c>
    </row>
    <row r="69" spans="1:12" s="80" customFormat="1" ht="25.5" customHeight="1">
      <c r="A69" s="199"/>
      <c r="B69" s="199"/>
      <c r="C69" s="199"/>
      <c r="D69" s="199"/>
      <c r="E69" s="199" t="s">
        <v>310</v>
      </c>
      <c r="F69" s="240" t="s">
        <v>311</v>
      </c>
      <c r="G69" s="200">
        <v>240000</v>
      </c>
      <c r="H69" s="200">
        <v>120</v>
      </c>
      <c r="I69" s="201">
        <f>G69*H69</f>
        <v>28800000</v>
      </c>
      <c r="J69" s="199"/>
      <c r="K69" s="199"/>
      <c r="L69" s="199"/>
    </row>
    <row r="70" spans="1:12" s="80" customFormat="1" ht="25.5" customHeight="1">
      <c r="A70" s="199"/>
      <c r="B70" s="199"/>
      <c r="C70" s="199"/>
      <c r="D70" s="199"/>
      <c r="E70" s="199" t="s">
        <v>335</v>
      </c>
      <c r="F70" s="240" t="s">
        <v>311</v>
      </c>
      <c r="G70" s="200">
        <f>G69/2</f>
        <v>120000</v>
      </c>
      <c r="H70" s="200">
        <v>40</v>
      </c>
      <c r="I70" s="201">
        <f>G70*H70</f>
        <v>4800000</v>
      </c>
      <c r="J70" s="199"/>
      <c r="K70" s="199"/>
      <c r="L70" s="199"/>
    </row>
    <row r="71" spans="1:12" s="80" customFormat="1" ht="25.5" customHeight="1">
      <c r="A71" s="199"/>
      <c r="B71" s="199"/>
      <c r="C71" s="199"/>
      <c r="D71" s="199"/>
      <c r="E71" s="199" t="s">
        <v>334</v>
      </c>
      <c r="F71" s="240" t="s">
        <v>311</v>
      </c>
      <c r="G71" s="200">
        <f>G70/2</f>
        <v>60000</v>
      </c>
      <c r="H71" s="200">
        <v>0</v>
      </c>
      <c r="I71" s="201">
        <f>G71*H71</f>
        <v>0</v>
      </c>
      <c r="J71" s="199"/>
      <c r="K71" s="199"/>
      <c r="L71" s="199"/>
    </row>
    <row r="72" spans="1:12" s="80" customFormat="1" ht="25.5" customHeight="1">
      <c r="A72" s="195"/>
      <c r="B72" s="195"/>
      <c r="C72" s="195"/>
      <c r="D72" s="195" t="s">
        <v>313</v>
      </c>
      <c r="E72" s="195"/>
      <c r="F72" s="195"/>
      <c r="G72" s="195"/>
      <c r="H72" s="195"/>
      <c r="I72" s="195"/>
      <c r="J72" s="196">
        <f>J68-J67</f>
        <v>-820000</v>
      </c>
      <c r="K72" s="195"/>
      <c r="L72" s="245">
        <f>L68-L67</f>
        <v>-6518800</v>
      </c>
    </row>
    <row r="73" spans="1:12">
      <c r="J73" s="345" t="b">
        <f>AND(J72&gt;0)</f>
        <v>0</v>
      </c>
      <c r="L73" s="345" t="b">
        <f>AND(L72&gt;0)</f>
        <v>0</v>
      </c>
    </row>
  </sheetData>
  <mergeCells count="2">
    <mergeCell ref="B26:C26"/>
    <mergeCell ref="D3:E3"/>
  </mergeCells>
  <pageMargins left="0.7" right="0.7" top="0.24" bottom="0.21" header="0.17" footer="0.17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2"/>
  <sheetViews>
    <sheetView topLeftCell="A4" workbookViewId="0">
      <pane xSplit="2" ySplit="1" topLeftCell="C127" activePane="bottomRight" state="frozen"/>
      <selection activeCell="A4" sqref="A4"/>
      <selection pane="topRight" activeCell="C4" sqref="C4"/>
      <selection pane="bottomLeft" activeCell="A5" sqref="A5"/>
      <selection pane="bottomRight" activeCell="F1" sqref="F1"/>
    </sheetView>
  </sheetViews>
  <sheetFormatPr defaultRowHeight="15" outlineLevelRow="1" outlineLevelCol="1"/>
  <cols>
    <col min="1" max="1" width="12.85546875" style="25" customWidth="1"/>
    <col min="2" max="2" width="5.85546875" customWidth="1" outlineLevel="1"/>
    <col min="3" max="3" width="9.42578125" customWidth="1"/>
    <col min="4" max="4" width="54.140625" style="5" customWidth="1"/>
    <col min="5" max="5" width="13" style="5" customWidth="1"/>
    <col min="6" max="6" width="13.140625" style="5" customWidth="1"/>
    <col min="7" max="7" width="17.42578125" style="6" customWidth="1"/>
    <col min="8" max="8" width="10" customWidth="1"/>
    <col min="9" max="9" width="39.42578125" customWidth="1"/>
    <col min="10" max="10" width="13.85546875" bestFit="1" customWidth="1"/>
    <col min="11" max="11" width="9.5703125" bestFit="1" customWidth="1"/>
  </cols>
  <sheetData>
    <row r="1" spans="1:11" ht="20.25" customHeight="1">
      <c r="A1" s="70" t="s">
        <v>46</v>
      </c>
      <c r="B1" s="70"/>
      <c r="C1" s="70"/>
      <c r="D1" s="70"/>
      <c r="E1" s="70"/>
      <c r="F1" s="70"/>
      <c r="G1" s="70"/>
      <c r="H1" s="70"/>
    </row>
    <row r="2" spans="1:11" ht="21.75" customHeight="1">
      <c r="A2" s="71" t="s">
        <v>47</v>
      </c>
      <c r="B2" s="71"/>
      <c r="C2" s="71"/>
      <c r="D2" s="71"/>
      <c r="E2" s="71"/>
      <c r="F2" s="71"/>
      <c r="G2" s="71"/>
      <c r="H2" s="71"/>
    </row>
    <row r="3" spans="1:11">
      <c r="D3" s="9"/>
      <c r="E3" s="9"/>
      <c r="F3" s="9"/>
    </row>
    <row r="4" spans="1:11" ht="21" customHeight="1">
      <c r="A4" s="346" t="s">
        <v>48</v>
      </c>
      <c r="B4" s="347" t="s">
        <v>59</v>
      </c>
      <c r="C4" s="347" t="s">
        <v>49</v>
      </c>
      <c r="D4" s="347" t="s">
        <v>50</v>
      </c>
      <c r="E4" s="348" t="s">
        <v>51</v>
      </c>
      <c r="F4" s="348" t="s">
        <v>52</v>
      </c>
      <c r="G4" s="349" t="s">
        <v>53</v>
      </c>
      <c r="H4" s="350" t="s">
        <v>54</v>
      </c>
      <c r="I4" s="351"/>
      <c r="J4" s="351"/>
      <c r="K4" s="351"/>
    </row>
    <row r="5" spans="1:11" ht="23.25" outlineLevel="1">
      <c r="A5" s="352">
        <v>40399</v>
      </c>
      <c r="B5" s="353">
        <f t="shared" ref="B5:B39" si="0">IF(A5=0,"",MONTH(A5))</f>
        <v>8</v>
      </c>
      <c r="C5" s="354"/>
      <c r="D5" s="354" t="s">
        <v>178</v>
      </c>
      <c r="E5" s="355">
        <v>6605800</v>
      </c>
      <c r="F5" s="355"/>
      <c r="G5" s="356">
        <f>E5-F5</f>
        <v>6605800</v>
      </c>
      <c r="H5" s="357"/>
      <c r="I5" s="351"/>
      <c r="J5" s="351"/>
      <c r="K5" s="351"/>
    </row>
    <row r="6" spans="1:11" ht="23.25" outlineLevel="1">
      <c r="A6" s="352">
        <v>40399</v>
      </c>
      <c r="B6" s="353">
        <f t="shared" si="0"/>
        <v>8</v>
      </c>
      <c r="C6" s="354"/>
      <c r="D6" s="354" t="s">
        <v>152</v>
      </c>
      <c r="E6" s="355">
        <v>3000000</v>
      </c>
      <c r="F6" s="355"/>
      <c r="G6" s="358">
        <f>IF(E6+F6&gt;0,G5+E6-F6,"")</f>
        <v>9605800</v>
      </c>
      <c r="H6" s="357" t="s">
        <v>315</v>
      </c>
      <c r="I6" s="351"/>
      <c r="J6" s="351"/>
      <c r="K6" s="351"/>
    </row>
    <row r="7" spans="1:11" ht="23.25" outlineLevel="1">
      <c r="A7" s="359">
        <v>40452</v>
      </c>
      <c r="B7" s="353">
        <f t="shared" si="0"/>
        <v>10</v>
      </c>
      <c r="C7" s="354"/>
      <c r="D7" s="354" t="s">
        <v>6</v>
      </c>
      <c r="E7" s="355"/>
      <c r="F7" s="360">
        <v>4000</v>
      </c>
      <c r="G7" s="358">
        <f t="shared" ref="G7:G70" si="1">IF(E7+F7&gt;0,G6+E7-F7,"")</f>
        <v>9601800</v>
      </c>
      <c r="H7" s="357" t="s">
        <v>281</v>
      </c>
      <c r="I7" s="351"/>
      <c r="J7" s="351"/>
      <c r="K7" s="351"/>
    </row>
    <row r="8" spans="1:11" ht="23.25" outlineLevel="1">
      <c r="A8" s="361">
        <v>40454</v>
      </c>
      <c r="B8" s="353">
        <f t="shared" si="0"/>
        <v>10</v>
      </c>
      <c r="C8" s="354"/>
      <c r="D8" s="354" t="s">
        <v>381</v>
      </c>
      <c r="E8" s="355"/>
      <c r="F8" s="360">
        <v>4000</v>
      </c>
      <c r="G8" s="358">
        <f t="shared" si="1"/>
        <v>9597800</v>
      </c>
      <c r="H8" s="357" t="s">
        <v>280</v>
      </c>
      <c r="I8" s="351"/>
      <c r="J8" s="351"/>
      <c r="K8" s="351"/>
    </row>
    <row r="9" spans="1:11" ht="23.25" outlineLevel="1">
      <c r="A9" s="359">
        <v>40454</v>
      </c>
      <c r="B9" s="353">
        <f t="shared" si="0"/>
        <v>10</v>
      </c>
      <c r="C9" s="354"/>
      <c r="D9" s="362" t="s">
        <v>4</v>
      </c>
      <c r="E9" s="355"/>
      <c r="F9" s="360">
        <v>4000</v>
      </c>
      <c r="G9" s="358">
        <f t="shared" si="1"/>
        <v>9593800</v>
      </c>
      <c r="H9" s="357" t="s">
        <v>280</v>
      </c>
      <c r="I9" s="351"/>
      <c r="J9" s="351"/>
      <c r="K9" s="351"/>
    </row>
    <row r="10" spans="1:11" ht="23.25" outlineLevel="1">
      <c r="A10" s="363">
        <v>40459</v>
      </c>
      <c r="B10" s="353">
        <f t="shared" si="0"/>
        <v>10</v>
      </c>
      <c r="C10" s="354"/>
      <c r="D10" s="354" t="s">
        <v>10</v>
      </c>
      <c r="E10" s="355"/>
      <c r="F10" s="360">
        <v>15000</v>
      </c>
      <c r="G10" s="358">
        <f t="shared" si="1"/>
        <v>9578800</v>
      </c>
      <c r="H10" s="357" t="s">
        <v>281</v>
      </c>
      <c r="I10" s="351"/>
      <c r="J10" s="351"/>
      <c r="K10" s="351"/>
    </row>
    <row r="11" spans="1:11" ht="23.25" outlineLevel="1">
      <c r="A11" s="359">
        <v>40461</v>
      </c>
      <c r="B11" s="353">
        <f t="shared" si="0"/>
        <v>10</v>
      </c>
      <c r="C11" s="354"/>
      <c r="D11" s="354" t="s">
        <v>5</v>
      </c>
      <c r="E11" s="355"/>
      <c r="F11" s="360">
        <v>4000</v>
      </c>
      <c r="G11" s="358">
        <f t="shared" si="1"/>
        <v>9574800</v>
      </c>
      <c r="H11" s="357" t="s">
        <v>280</v>
      </c>
      <c r="I11" s="351"/>
      <c r="J11" s="351"/>
      <c r="K11" s="351"/>
    </row>
    <row r="12" spans="1:11" ht="23.25" outlineLevel="1">
      <c r="A12" s="361">
        <v>40468</v>
      </c>
      <c r="B12" s="353">
        <f t="shared" si="0"/>
        <v>10</v>
      </c>
      <c r="C12" s="354"/>
      <c r="D12" s="364" t="s">
        <v>1</v>
      </c>
      <c r="E12" s="355"/>
      <c r="F12" s="360">
        <v>4000</v>
      </c>
      <c r="G12" s="358">
        <f t="shared" si="1"/>
        <v>9570800</v>
      </c>
      <c r="H12" s="357" t="s">
        <v>280</v>
      </c>
      <c r="I12" s="351"/>
      <c r="J12" s="351"/>
      <c r="K12" s="351"/>
    </row>
    <row r="13" spans="1:11" ht="23.25" outlineLevel="1">
      <c r="A13" s="359">
        <v>40468</v>
      </c>
      <c r="B13" s="353">
        <f t="shared" si="0"/>
        <v>10</v>
      </c>
      <c r="C13" s="354"/>
      <c r="D13" s="364" t="s">
        <v>2</v>
      </c>
      <c r="E13" s="355"/>
      <c r="F13" s="365">
        <v>40000</v>
      </c>
      <c r="G13" s="358">
        <f t="shared" si="1"/>
        <v>9530800</v>
      </c>
      <c r="H13" s="357" t="s">
        <v>276</v>
      </c>
      <c r="I13" s="351"/>
      <c r="J13" s="351"/>
      <c r="K13" s="351"/>
    </row>
    <row r="14" spans="1:11" ht="23.25" outlineLevel="1">
      <c r="A14" s="359">
        <v>40468</v>
      </c>
      <c r="B14" s="353">
        <f t="shared" si="0"/>
        <v>10</v>
      </c>
      <c r="C14" s="354"/>
      <c r="D14" s="354" t="s">
        <v>7</v>
      </c>
      <c r="E14" s="355"/>
      <c r="F14" s="360">
        <v>4000</v>
      </c>
      <c r="G14" s="358">
        <f t="shared" si="1"/>
        <v>9526800</v>
      </c>
      <c r="H14" s="357" t="s">
        <v>280</v>
      </c>
      <c r="I14" s="351"/>
      <c r="J14" s="351"/>
      <c r="K14" s="351"/>
    </row>
    <row r="15" spans="1:11" ht="23.25" outlineLevel="1">
      <c r="A15" s="359">
        <v>40472</v>
      </c>
      <c r="B15" s="353">
        <f t="shared" si="0"/>
        <v>10</v>
      </c>
      <c r="C15" s="354"/>
      <c r="D15" s="354" t="s">
        <v>3</v>
      </c>
      <c r="E15" s="355"/>
      <c r="F15" s="360">
        <v>4000</v>
      </c>
      <c r="G15" s="358">
        <f t="shared" si="1"/>
        <v>9522800</v>
      </c>
      <c r="H15" s="357" t="s">
        <v>280</v>
      </c>
      <c r="I15" s="351"/>
      <c r="J15" s="351"/>
      <c r="K15" s="351"/>
    </row>
    <row r="16" spans="1:11" ht="23.25" outlineLevel="1">
      <c r="A16" s="359">
        <v>40473</v>
      </c>
      <c r="B16" s="353">
        <f t="shared" si="0"/>
        <v>10</v>
      </c>
      <c r="C16" s="354"/>
      <c r="D16" s="354" t="s">
        <v>8</v>
      </c>
      <c r="E16" s="355"/>
      <c r="F16" s="360">
        <v>10500</v>
      </c>
      <c r="G16" s="358">
        <f t="shared" si="1"/>
        <v>9512300</v>
      </c>
      <c r="H16" s="357" t="s">
        <v>281</v>
      </c>
      <c r="I16" s="351"/>
      <c r="J16" s="351"/>
      <c r="K16" s="351"/>
    </row>
    <row r="17" spans="1:11" ht="23.25" outlineLevel="1">
      <c r="A17" s="363">
        <v>40481</v>
      </c>
      <c r="B17" s="353">
        <f t="shared" si="0"/>
        <v>10</v>
      </c>
      <c r="C17" s="354"/>
      <c r="D17" s="354" t="s">
        <v>9</v>
      </c>
      <c r="E17" s="355"/>
      <c r="F17" s="360">
        <v>4000</v>
      </c>
      <c r="G17" s="358">
        <f t="shared" si="1"/>
        <v>9508300</v>
      </c>
      <c r="H17" s="357" t="s">
        <v>280</v>
      </c>
      <c r="I17" s="351"/>
      <c r="J17" s="351"/>
      <c r="K17" s="351"/>
    </row>
    <row r="18" spans="1:11" ht="23.25" outlineLevel="1">
      <c r="A18" s="366">
        <v>40484</v>
      </c>
      <c r="B18" s="353">
        <f t="shared" si="0"/>
        <v>11</v>
      </c>
      <c r="C18" s="354"/>
      <c r="D18" s="367" t="s">
        <v>11</v>
      </c>
      <c r="E18" s="355"/>
      <c r="F18" s="360">
        <v>70000</v>
      </c>
      <c r="G18" s="358">
        <f t="shared" si="1"/>
        <v>9438300</v>
      </c>
      <c r="H18" s="357" t="s">
        <v>281</v>
      </c>
      <c r="I18" s="368"/>
      <c r="J18" s="351"/>
      <c r="K18" s="351"/>
    </row>
    <row r="19" spans="1:11" ht="23.25" outlineLevel="1">
      <c r="A19" s="366">
        <v>40484</v>
      </c>
      <c r="B19" s="353">
        <f t="shared" si="0"/>
        <v>11</v>
      </c>
      <c r="C19" s="354"/>
      <c r="D19" s="367" t="s">
        <v>23</v>
      </c>
      <c r="E19" s="355"/>
      <c r="F19" s="360">
        <v>100000</v>
      </c>
      <c r="G19" s="358">
        <f t="shared" si="1"/>
        <v>9338300</v>
      </c>
      <c r="H19" s="357" t="s">
        <v>280</v>
      </c>
      <c r="I19" s="351"/>
      <c r="J19" s="351"/>
      <c r="K19" s="351"/>
    </row>
    <row r="20" spans="1:11" ht="23.25" outlineLevel="1">
      <c r="A20" s="366">
        <v>40486</v>
      </c>
      <c r="B20" s="353">
        <f t="shared" si="0"/>
        <v>11</v>
      </c>
      <c r="C20" s="354"/>
      <c r="D20" s="369" t="s">
        <v>12</v>
      </c>
      <c r="E20" s="355"/>
      <c r="F20" s="360">
        <v>4000</v>
      </c>
      <c r="G20" s="358">
        <f t="shared" si="1"/>
        <v>9334300</v>
      </c>
      <c r="H20" s="357" t="s">
        <v>280</v>
      </c>
      <c r="I20" s="351"/>
      <c r="J20" s="351"/>
      <c r="K20" s="351"/>
    </row>
    <row r="21" spans="1:11" ht="23.25" outlineLevel="1">
      <c r="A21" s="370">
        <v>40489</v>
      </c>
      <c r="B21" s="353">
        <f t="shared" si="0"/>
        <v>11</v>
      </c>
      <c r="C21" s="354"/>
      <c r="D21" s="369" t="s">
        <v>28</v>
      </c>
      <c r="E21" s="355"/>
      <c r="F21" s="360">
        <v>4000</v>
      </c>
      <c r="G21" s="358">
        <f t="shared" si="1"/>
        <v>9330300</v>
      </c>
      <c r="H21" s="357" t="s">
        <v>280</v>
      </c>
      <c r="I21" s="351"/>
      <c r="J21" s="351"/>
      <c r="K21" s="351"/>
    </row>
    <row r="22" spans="1:11" ht="23.25" outlineLevel="1">
      <c r="A22" s="370">
        <v>40490</v>
      </c>
      <c r="B22" s="353">
        <f t="shared" si="0"/>
        <v>11</v>
      </c>
      <c r="C22" s="354"/>
      <c r="D22" s="369" t="s">
        <v>30</v>
      </c>
      <c r="E22" s="355"/>
      <c r="F22" s="360">
        <v>4000</v>
      </c>
      <c r="G22" s="358">
        <f t="shared" si="1"/>
        <v>9326300</v>
      </c>
      <c r="H22" s="357" t="s">
        <v>280</v>
      </c>
      <c r="I22" s="351"/>
      <c r="J22" s="351"/>
      <c r="K22" s="351"/>
    </row>
    <row r="23" spans="1:11" ht="23.25" outlineLevel="1">
      <c r="A23" s="370">
        <v>40492</v>
      </c>
      <c r="B23" s="353">
        <f t="shared" si="0"/>
        <v>11</v>
      </c>
      <c r="C23" s="371"/>
      <c r="D23" s="369" t="s">
        <v>24</v>
      </c>
      <c r="E23" s="355"/>
      <c r="F23" s="360">
        <v>2000</v>
      </c>
      <c r="G23" s="358">
        <f t="shared" si="1"/>
        <v>9324300</v>
      </c>
      <c r="H23" s="357" t="s">
        <v>290</v>
      </c>
      <c r="I23" s="351"/>
      <c r="J23" s="351"/>
      <c r="K23" s="351"/>
    </row>
    <row r="24" spans="1:11" ht="23.25" outlineLevel="1">
      <c r="A24" s="370">
        <v>40492</v>
      </c>
      <c r="B24" s="353">
        <f t="shared" si="0"/>
        <v>11</v>
      </c>
      <c r="C24" s="372"/>
      <c r="D24" s="367" t="s">
        <v>25</v>
      </c>
      <c r="E24" s="355"/>
      <c r="F24" s="360">
        <v>168000</v>
      </c>
      <c r="G24" s="358">
        <f t="shared" si="1"/>
        <v>9156300</v>
      </c>
      <c r="H24" s="357" t="s">
        <v>292</v>
      </c>
      <c r="I24" s="351"/>
      <c r="J24" s="351"/>
      <c r="K24" s="351"/>
    </row>
    <row r="25" spans="1:11" ht="23.25" outlineLevel="1">
      <c r="A25" s="370">
        <v>40492</v>
      </c>
      <c r="B25" s="353">
        <f t="shared" si="0"/>
        <v>11</v>
      </c>
      <c r="C25" s="373" t="s">
        <v>38</v>
      </c>
      <c r="D25" s="369" t="s">
        <v>29</v>
      </c>
      <c r="E25" s="355"/>
      <c r="F25" s="360">
        <v>9000</v>
      </c>
      <c r="G25" s="358">
        <f t="shared" si="1"/>
        <v>9147300</v>
      </c>
      <c r="H25" s="357" t="s">
        <v>280</v>
      </c>
      <c r="I25" s="351"/>
      <c r="J25" s="351"/>
      <c r="K25" s="351"/>
    </row>
    <row r="26" spans="1:11" ht="23.25" outlineLevel="1">
      <c r="A26" s="366">
        <v>40493</v>
      </c>
      <c r="B26" s="353">
        <f t="shared" si="0"/>
        <v>11</v>
      </c>
      <c r="C26" s="354"/>
      <c r="D26" s="369" t="s">
        <v>13</v>
      </c>
      <c r="E26" s="355"/>
      <c r="F26" s="360">
        <v>27000</v>
      </c>
      <c r="G26" s="358">
        <f t="shared" si="1"/>
        <v>9120300</v>
      </c>
      <c r="H26" s="357" t="s">
        <v>280</v>
      </c>
      <c r="I26" s="351"/>
      <c r="J26" s="351"/>
      <c r="K26" s="351"/>
    </row>
    <row r="27" spans="1:11" ht="23.25" outlineLevel="1">
      <c r="A27" s="366">
        <v>40493</v>
      </c>
      <c r="B27" s="353">
        <f t="shared" si="0"/>
        <v>11</v>
      </c>
      <c r="C27" s="354"/>
      <c r="D27" s="369" t="s">
        <v>152</v>
      </c>
      <c r="E27" s="355">
        <v>1134400</v>
      </c>
      <c r="F27" s="360"/>
      <c r="G27" s="358">
        <f t="shared" si="1"/>
        <v>10254700</v>
      </c>
      <c r="H27" s="357" t="s">
        <v>315</v>
      </c>
      <c r="I27" s="351"/>
      <c r="J27" s="351"/>
      <c r="K27" s="351"/>
    </row>
    <row r="28" spans="1:11" ht="23.25" outlineLevel="1">
      <c r="A28" s="366">
        <v>40493</v>
      </c>
      <c r="B28" s="353">
        <f t="shared" si="0"/>
        <v>11</v>
      </c>
      <c r="C28" s="354"/>
      <c r="D28" s="369" t="s">
        <v>177</v>
      </c>
      <c r="E28" s="355"/>
      <c r="F28" s="360">
        <v>36200</v>
      </c>
      <c r="G28" s="358">
        <f t="shared" si="1"/>
        <v>10218500</v>
      </c>
      <c r="H28" s="357" t="s">
        <v>281</v>
      </c>
      <c r="I28" s="351"/>
      <c r="J28" s="351"/>
      <c r="K28" s="351"/>
    </row>
    <row r="29" spans="1:11" ht="23.25" outlineLevel="1">
      <c r="A29" s="366">
        <v>40495</v>
      </c>
      <c r="B29" s="353">
        <f t="shared" si="0"/>
        <v>11</v>
      </c>
      <c r="C29" s="354"/>
      <c r="D29" s="369" t="s">
        <v>15</v>
      </c>
      <c r="E29" s="355"/>
      <c r="F29" s="360">
        <v>25000</v>
      </c>
      <c r="G29" s="358">
        <f t="shared" si="1"/>
        <v>10193500</v>
      </c>
      <c r="H29" s="357" t="s">
        <v>292</v>
      </c>
      <c r="I29" s="351"/>
      <c r="J29" s="351"/>
      <c r="K29" s="351"/>
    </row>
    <row r="30" spans="1:11" ht="23.25" outlineLevel="1">
      <c r="A30" s="374">
        <v>40495</v>
      </c>
      <c r="B30" s="353">
        <f t="shared" si="0"/>
        <v>11</v>
      </c>
      <c r="C30" s="354"/>
      <c r="D30" s="375" t="s">
        <v>17</v>
      </c>
      <c r="E30" s="355"/>
      <c r="F30" s="360">
        <v>1550000</v>
      </c>
      <c r="G30" s="358">
        <f t="shared" si="1"/>
        <v>8643500</v>
      </c>
      <c r="H30" s="357" t="s">
        <v>290</v>
      </c>
      <c r="I30" s="351"/>
      <c r="J30" s="351"/>
      <c r="K30" s="351"/>
    </row>
    <row r="31" spans="1:11" ht="23.25" outlineLevel="1">
      <c r="A31" s="370">
        <v>40495</v>
      </c>
      <c r="B31" s="353">
        <f t="shared" si="0"/>
        <v>11</v>
      </c>
      <c r="C31" s="354"/>
      <c r="D31" s="369" t="s">
        <v>26</v>
      </c>
      <c r="E31" s="355"/>
      <c r="F31" s="360">
        <v>13000</v>
      </c>
      <c r="G31" s="358">
        <f t="shared" si="1"/>
        <v>8630500</v>
      </c>
      <c r="H31" s="376" t="s">
        <v>284</v>
      </c>
      <c r="I31" s="351"/>
      <c r="J31" s="351"/>
      <c r="K31" s="351"/>
    </row>
    <row r="32" spans="1:11" ht="23.25" outlineLevel="1">
      <c r="A32" s="366">
        <v>40498</v>
      </c>
      <c r="B32" s="353">
        <f t="shared" si="0"/>
        <v>11</v>
      </c>
      <c r="C32" s="377"/>
      <c r="D32" s="369" t="s">
        <v>16</v>
      </c>
      <c r="E32" s="355"/>
      <c r="F32" s="360">
        <v>4000</v>
      </c>
      <c r="G32" s="358">
        <f t="shared" si="1"/>
        <v>8626500</v>
      </c>
      <c r="H32" s="357" t="s">
        <v>280</v>
      </c>
      <c r="I32" s="351"/>
      <c r="J32" s="351"/>
      <c r="K32" s="351"/>
    </row>
    <row r="33" spans="1:11" ht="23.25" outlineLevel="1">
      <c r="A33" s="366">
        <v>40498</v>
      </c>
      <c r="B33" s="353">
        <f t="shared" si="0"/>
        <v>11</v>
      </c>
      <c r="C33" s="377"/>
      <c r="D33" s="369" t="s">
        <v>42</v>
      </c>
      <c r="E33" s="355"/>
      <c r="F33" s="360">
        <v>4400</v>
      </c>
      <c r="G33" s="358">
        <f t="shared" si="1"/>
        <v>8622100</v>
      </c>
      <c r="H33" s="357" t="s">
        <v>280</v>
      </c>
      <c r="I33" s="351"/>
      <c r="J33" s="351"/>
      <c r="K33" s="351"/>
    </row>
    <row r="34" spans="1:11" ht="23.25" outlineLevel="1">
      <c r="A34" s="370">
        <v>40498</v>
      </c>
      <c r="B34" s="353">
        <f t="shared" si="0"/>
        <v>11</v>
      </c>
      <c r="C34" s="354"/>
      <c r="D34" s="369" t="s">
        <v>31</v>
      </c>
      <c r="E34" s="355"/>
      <c r="F34" s="360">
        <v>4000</v>
      </c>
      <c r="G34" s="358">
        <f t="shared" si="1"/>
        <v>8618100</v>
      </c>
      <c r="H34" s="357" t="s">
        <v>280</v>
      </c>
      <c r="I34" s="351"/>
      <c r="J34" s="351"/>
      <c r="K34" s="351"/>
    </row>
    <row r="35" spans="1:11" ht="23.25" outlineLevel="1">
      <c r="A35" s="370">
        <v>40498</v>
      </c>
      <c r="B35" s="353">
        <f t="shared" si="0"/>
        <v>11</v>
      </c>
      <c r="C35" s="354"/>
      <c r="D35" s="369" t="s">
        <v>39</v>
      </c>
      <c r="E35" s="355"/>
      <c r="F35" s="360">
        <v>60000</v>
      </c>
      <c r="G35" s="358">
        <f t="shared" si="1"/>
        <v>8558100</v>
      </c>
      <c r="H35" s="357" t="s">
        <v>291</v>
      </c>
      <c r="I35" s="351"/>
      <c r="J35" s="351"/>
      <c r="K35" s="351"/>
    </row>
    <row r="36" spans="1:11" ht="23.25" outlineLevel="1">
      <c r="A36" s="366">
        <v>40499</v>
      </c>
      <c r="B36" s="353">
        <f t="shared" si="0"/>
        <v>11</v>
      </c>
      <c r="C36" s="354"/>
      <c r="D36" s="369" t="s">
        <v>14</v>
      </c>
      <c r="E36" s="355"/>
      <c r="F36" s="360">
        <v>9000</v>
      </c>
      <c r="G36" s="358">
        <f t="shared" si="1"/>
        <v>8549100</v>
      </c>
      <c r="H36" s="357" t="s">
        <v>292</v>
      </c>
      <c r="I36" s="351"/>
      <c r="J36" s="351"/>
      <c r="K36" s="351"/>
    </row>
    <row r="37" spans="1:11" ht="23.25" outlineLevel="1">
      <c r="A37" s="366">
        <v>40499</v>
      </c>
      <c r="B37" s="353">
        <f t="shared" si="0"/>
        <v>11</v>
      </c>
      <c r="C37" s="354"/>
      <c r="D37" s="369" t="s">
        <v>18</v>
      </c>
      <c r="E37" s="355"/>
      <c r="F37" s="360">
        <v>4000</v>
      </c>
      <c r="G37" s="358">
        <f t="shared" si="1"/>
        <v>8545100</v>
      </c>
      <c r="H37" s="357" t="s">
        <v>280</v>
      </c>
      <c r="I37" s="351"/>
      <c r="J37" s="351"/>
      <c r="K37" s="351"/>
    </row>
    <row r="38" spans="1:11" ht="23.25" outlineLevel="1">
      <c r="A38" s="378">
        <v>40501</v>
      </c>
      <c r="B38" s="353">
        <f t="shared" si="0"/>
        <v>11</v>
      </c>
      <c r="C38" s="354"/>
      <c r="D38" s="379" t="s">
        <v>27</v>
      </c>
      <c r="E38" s="355"/>
      <c r="F38" s="360">
        <v>4000</v>
      </c>
      <c r="G38" s="358">
        <f t="shared" si="1"/>
        <v>8541100</v>
      </c>
      <c r="H38" s="376" t="s">
        <v>281</v>
      </c>
      <c r="I38" s="351"/>
      <c r="J38" s="351"/>
      <c r="K38" s="351"/>
    </row>
    <row r="39" spans="1:11" ht="23.25" outlineLevel="1">
      <c r="A39" s="366">
        <v>40503</v>
      </c>
      <c r="B39" s="353">
        <f t="shared" si="0"/>
        <v>11</v>
      </c>
      <c r="C39" s="354"/>
      <c r="D39" s="369" t="s">
        <v>19</v>
      </c>
      <c r="E39" s="355"/>
      <c r="F39" s="360">
        <v>4000</v>
      </c>
      <c r="G39" s="358">
        <f t="shared" si="1"/>
        <v>8537100</v>
      </c>
      <c r="H39" s="357" t="s">
        <v>280</v>
      </c>
      <c r="I39" s="351"/>
      <c r="J39" s="351"/>
      <c r="K39" s="351"/>
    </row>
    <row r="40" spans="1:11" ht="23.25" outlineLevel="1">
      <c r="A40" s="366">
        <v>40510</v>
      </c>
      <c r="B40" s="353">
        <f t="shared" ref="B40:B72" si="2">IF(A40=0,"",MONTH(A40))</f>
        <v>11</v>
      </c>
      <c r="C40" s="354"/>
      <c r="D40" s="369" t="s">
        <v>21</v>
      </c>
      <c r="E40" s="355"/>
      <c r="F40" s="360">
        <v>7000</v>
      </c>
      <c r="G40" s="358">
        <f t="shared" si="1"/>
        <v>8530100</v>
      </c>
      <c r="H40" s="357" t="s">
        <v>280</v>
      </c>
      <c r="I40" s="351"/>
      <c r="J40" s="351"/>
      <c r="K40" s="351"/>
    </row>
    <row r="41" spans="1:11" ht="23.25" outlineLevel="1">
      <c r="A41" s="366">
        <v>40511</v>
      </c>
      <c r="B41" s="353">
        <f t="shared" si="2"/>
        <v>11</v>
      </c>
      <c r="C41" s="354"/>
      <c r="D41" s="369" t="s">
        <v>20</v>
      </c>
      <c r="E41" s="355"/>
      <c r="F41" s="360">
        <v>4000</v>
      </c>
      <c r="G41" s="358">
        <f t="shared" si="1"/>
        <v>8526100</v>
      </c>
      <c r="H41" s="357" t="s">
        <v>280</v>
      </c>
      <c r="I41" s="351"/>
      <c r="J41" s="351"/>
      <c r="K41" s="351"/>
    </row>
    <row r="42" spans="1:11" ht="23.25" outlineLevel="1">
      <c r="A42" s="374">
        <v>40511</v>
      </c>
      <c r="B42" s="353">
        <f t="shared" si="2"/>
        <v>11</v>
      </c>
      <c r="C42" s="354"/>
      <c r="D42" s="369" t="s">
        <v>22</v>
      </c>
      <c r="E42" s="355"/>
      <c r="F42" s="360">
        <v>20000</v>
      </c>
      <c r="G42" s="358">
        <f t="shared" si="1"/>
        <v>8506100</v>
      </c>
      <c r="H42" s="357" t="s">
        <v>292</v>
      </c>
      <c r="I42" s="351"/>
      <c r="J42" s="351"/>
      <c r="K42" s="351"/>
    </row>
    <row r="43" spans="1:11" ht="23.25" outlineLevel="1">
      <c r="A43" s="366">
        <v>40512</v>
      </c>
      <c r="B43" s="353">
        <f t="shared" si="2"/>
        <v>11</v>
      </c>
      <c r="C43" s="354"/>
      <c r="D43" s="369" t="s">
        <v>43</v>
      </c>
      <c r="E43" s="355"/>
      <c r="F43" s="360">
        <v>50000</v>
      </c>
      <c r="G43" s="358">
        <f t="shared" si="1"/>
        <v>8456100</v>
      </c>
      <c r="H43" s="357" t="s">
        <v>289</v>
      </c>
      <c r="I43" s="351"/>
      <c r="J43" s="351"/>
      <c r="K43" s="368"/>
    </row>
    <row r="44" spans="1:11" ht="23.25" outlineLevel="1">
      <c r="A44" s="378">
        <v>40513</v>
      </c>
      <c r="B44" s="353">
        <f t="shared" si="2"/>
        <v>12</v>
      </c>
      <c r="C44" s="354"/>
      <c r="D44" s="354" t="s">
        <v>40</v>
      </c>
      <c r="E44" s="355"/>
      <c r="F44" s="380">
        <v>21000</v>
      </c>
      <c r="G44" s="358">
        <f t="shared" si="1"/>
        <v>8435100</v>
      </c>
      <c r="H44" s="357" t="s">
        <v>281</v>
      </c>
      <c r="I44" s="351"/>
      <c r="J44" s="351"/>
      <c r="K44" s="351"/>
    </row>
    <row r="45" spans="1:11" ht="23.25" outlineLevel="1">
      <c r="A45" s="378">
        <v>40515</v>
      </c>
      <c r="B45" s="353">
        <f t="shared" si="2"/>
        <v>12</v>
      </c>
      <c r="C45" s="354"/>
      <c r="D45" s="354" t="s">
        <v>35</v>
      </c>
      <c r="E45" s="355"/>
      <c r="F45" s="380">
        <v>4000</v>
      </c>
      <c r="G45" s="358">
        <f t="shared" si="1"/>
        <v>8431100</v>
      </c>
      <c r="H45" s="357" t="s">
        <v>280</v>
      </c>
      <c r="I45" s="351"/>
      <c r="J45" s="351"/>
      <c r="K45" s="351"/>
    </row>
    <row r="46" spans="1:11" ht="23.25" outlineLevel="1">
      <c r="A46" s="378">
        <v>40516</v>
      </c>
      <c r="B46" s="353">
        <f t="shared" si="2"/>
        <v>12</v>
      </c>
      <c r="C46" s="354"/>
      <c r="D46" s="354" t="s">
        <v>32</v>
      </c>
      <c r="E46" s="355"/>
      <c r="F46" s="380">
        <v>4000</v>
      </c>
      <c r="G46" s="358">
        <f t="shared" si="1"/>
        <v>8427100</v>
      </c>
      <c r="H46" s="357" t="s">
        <v>280</v>
      </c>
      <c r="I46" s="351"/>
      <c r="J46" s="351"/>
      <c r="K46" s="351"/>
    </row>
    <row r="47" spans="1:11" ht="23.25" outlineLevel="1">
      <c r="A47" s="378">
        <v>40520</v>
      </c>
      <c r="B47" s="353">
        <f t="shared" si="2"/>
        <v>12</v>
      </c>
      <c r="C47" s="354"/>
      <c r="D47" s="354" t="s">
        <v>33</v>
      </c>
      <c r="E47" s="355"/>
      <c r="F47" s="380">
        <v>6000</v>
      </c>
      <c r="G47" s="358">
        <f t="shared" si="1"/>
        <v>8421100</v>
      </c>
      <c r="H47" s="357" t="s">
        <v>280</v>
      </c>
      <c r="I47" s="351"/>
      <c r="J47" s="351"/>
      <c r="K47" s="351"/>
    </row>
    <row r="48" spans="1:11" ht="23.25" outlineLevel="1">
      <c r="A48" s="378">
        <v>40520</v>
      </c>
      <c r="B48" s="353">
        <f t="shared" si="2"/>
        <v>12</v>
      </c>
      <c r="C48" s="354"/>
      <c r="D48" s="354" t="s">
        <v>36</v>
      </c>
      <c r="E48" s="355"/>
      <c r="F48" s="380">
        <v>33000</v>
      </c>
      <c r="G48" s="358">
        <f t="shared" si="1"/>
        <v>8388100</v>
      </c>
      <c r="H48" s="357" t="s">
        <v>288</v>
      </c>
      <c r="I48" s="351"/>
      <c r="J48" s="351"/>
      <c r="K48" s="351"/>
    </row>
    <row r="49" spans="1:11" ht="23.25" outlineLevel="1">
      <c r="A49" s="378">
        <v>40520</v>
      </c>
      <c r="B49" s="353">
        <f t="shared" si="2"/>
        <v>12</v>
      </c>
      <c r="C49" s="354"/>
      <c r="D49" s="381" t="s">
        <v>37</v>
      </c>
      <c r="E49" s="355"/>
      <c r="F49" s="380">
        <v>200000</v>
      </c>
      <c r="G49" s="358">
        <f t="shared" si="1"/>
        <v>8188100</v>
      </c>
      <c r="H49" s="357" t="s">
        <v>288</v>
      </c>
      <c r="I49" s="351"/>
      <c r="J49" s="351"/>
      <c r="K49" s="351"/>
    </row>
    <row r="50" spans="1:11" ht="23.25" outlineLevel="1">
      <c r="A50" s="378">
        <v>40521</v>
      </c>
      <c r="B50" s="353">
        <f t="shared" si="2"/>
        <v>12</v>
      </c>
      <c r="C50" s="354"/>
      <c r="D50" s="354" t="s">
        <v>34</v>
      </c>
      <c r="E50" s="355"/>
      <c r="F50" s="380">
        <v>6000</v>
      </c>
      <c r="G50" s="358">
        <f t="shared" si="1"/>
        <v>8182100</v>
      </c>
      <c r="H50" s="357" t="s">
        <v>288</v>
      </c>
      <c r="I50" s="351"/>
      <c r="J50" s="351"/>
      <c r="K50" s="351"/>
    </row>
    <row r="51" spans="1:11" ht="23.25" outlineLevel="1">
      <c r="A51" s="378">
        <v>40524</v>
      </c>
      <c r="B51" s="353">
        <f t="shared" si="2"/>
        <v>12</v>
      </c>
      <c r="C51" s="354"/>
      <c r="D51" s="354" t="s">
        <v>170</v>
      </c>
      <c r="E51" s="355"/>
      <c r="F51" s="380">
        <v>94000</v>
      </c>
      <c r="G51" s="358">
        <f t="shared" si="1"/>
        <v>8088100</v>
      </c>
      <c r="H51" s="357" t="s">
        <v>285</v>
      </c>
      <c r="I51" s="351"/>
      <c r="J51" s="351"/>
      <c r="K51" s="351"/>
    </row>
    <row r="52" spans="1:11" ht="23.25" outlineLevel="1">
      <c r="A52" s="378">
        <v>40525</v>
      </c>
      <c r="B52" s="353">
        <f t="shared" si="2"/>
        <v>12</v>
      </c>
      <c r="C52" s="354"/>
      <c r="D52" s="354" t="s">
        <v>41</v>
      </c>
      <c r="E52" s="355"/>
      <c r="F52" s="380">
        <v>8000</v>
      </c>
      <c r="G52" s="358">
        <f t="shared" si="1"/>
        <v>8080100</v>
      </c>
      <c r="H52" s="357" t="s">
        <v>281</v>
      </c>
      <c r="I52" s="351"/>
      <c r="J52" s="351"/>
      <c r="K52" s="351"/>
    </row>
    <row r="53" spans="1:11" ht="23.25" outlineLevel="1">
      <c r="A53" s="352">
        <v>40527</v>
      </c>
      <c r="B53" s="353">
        <f t="shared" si="2"/>
        <v>12</v>
      </c>
      <c r="C53" s="354"/>
      <c r="D53" s="354" t="s">
        <v>44</v>
      </c>
      <c r="E53" s="355"/>
      <c r="F53" s="382">
        <v>540000</v>
      </c>
      <c r="G53" s="358">
        <f t="shared" si="1"/>
        <v>7540100</v>
      </c>
      <c r="H53" s="357" t="s">
        <v>288</v>
      </c>
      <c r="I53" s="351"/>
      <c r="J53" s="351"/>
      <c r="K53" s="351"/>
    </row>
    <row r="54" spans="1:11" ht="23.25" outlineLevel="1">
      <c r="A54" s="352">
        <v>40527</v>
      </c>
      <c r="B54" s="353">
        <f t="shared" si="2"/>
        <v>12</v>
      </c>
      <c r="C54" s="354"/>
      <c r="D54" s="354" t="s">
        <v>45</v>
      </c>
      <c r="E54" s="355"/>
      <c r="F54" s="382">
        <v>188000</v>
      </c>
      <c r="G54" s="358">
        <f t="shared" si="1"/>
        <v>7352100</v>
      </c>
      <c r="H54" s="357" t="s">
        <v>285</v>
      </c>
      <c r="I54" s="351"/>
      <c r="J54" s="351"/>
      <c r="K54" s="351"/>
    </row>
    <row r="55" spans="1:11" ht="23.25" outlineLevel="1">
      <c r="A55" s="352">
        <v>40527</v>
      </c>
      <c r="B55" s="353">
        <f t="shared" si="2"/>
        <v>12</v>
      </c>
      <c r="C55" s="354"/>
      <c r="D55" s="354" t="s">
        <v>140</v>
      </c>
      <c r="E55" s="355"/>
      <c r="F55" s="382">
        <v>4200</v>
      </c>
      <c r="G55" s="358">
        <f t="shared" si="1"/>
        <v>7347900</v>
      </c>
      <c r="H55" s="357" t="s">
        <v>280</v>
      </c>
      <c r="I55" s="351"/>
      <c r="J55" s="351"/>
      <c r="K55" s="351"/>
    </row>
    <row r="56" spans="1:11" ht="23.25" outlineLevel="1">
      <c r="A56" s="352">
        <v>40529</v>
      </c>
      <c r="B56" s="353">
        <f t="shared" si="2"/>
        <v>12</v>
      </c>
      <c r="C56" s="354"/>
      <c r="D56" s="354" t="s">
        <v>141</v>
      </c>
      <c r="E56" s="355"/>
      <c r="F56" s="382">
        <v>40000</v>
      </c>
      <c r="G56" s="358">
        <f t="shared" si="1"/>
        <v>7307900</v>
      </c>
      <c r="H56" s="357" t="s">
        <v>281</v>
      </c>
      <c r="I56" s="351"/>
      <c r="J56" s="351"/>
      <c r="K56" s="351"/>
    </row>
    <row r="57" spans="1:11" ht="23.25" outlineLevel="1">
      <c r="A57" s="352">
        <v>40530</v>
      </c>
      <c r="B57" s="353">
        <f t="shared" si="2"/>
        <v>12</v>
      </c>
      <c r="C57" s="354"/>
      <c r="D57" s="354" t="s">
        <v>142</v>
      </c>
      <c r="E57" s="355"/>
      <c r="F57" s="383">
        <v>4200</v>
      </c>
      <c r="G57" s="358">
        <f t="shared" si="1"/>
        <v>7303700</v>
      </c>
      <c r="H57" s="357" t="s">
        <v>280</v>
      </c>
      <c r="I57" s="351"/>
      <c r="J57" s="351"/>
      <c r="K57" s="351"/>
    </row>
    <row r="58" spans="1:11" ht="23.25" outlineLevel="1">
      <c r="A58" s="352">
        <v>40531</v>
      </c>
      <c r="B58" s="353">
        <f t="shared" si="2"/>
        <v>12</v>
      </c>
      <c r="C58" s="354"/>
      <c r="D58" s="354" t="s">
        <v>143</v>
      </c>
      <c r="E58" s="355"/>
      <c r="F58" s="382">
        <v>4200</v>
      </c>
      <c r="G58" s="358">
        <f t="shared" si="1"/>
        <v>7299500</v>
      </c>
      <c r="H58" s="357" t="s">
        <v>280</v>
      </c>
      <c r="I58" s="351"/>
      <c r="J58" s="351"/>
      <c r="K58" s="351"/>
    </row>
    <row r="59" spans="1:11" ht="23.25" outlineLevel="1">
      <c r="A59" s="352">
        <v>40531</v>
      </c>
      <c r="B59" s="353">
        <f t="shared" si="2"/>
        <v>12</v>
      </c>
      <c r="C59" s="354"/>
      <c r="D59" s="354" t="s">
        <v>144</v>
      </c>
      <c r="E59" s="355"/>
      <c r="F59" s="382">
        <v>14000</v>
      </c>
      <c r="G59" s="358">
        <f t="shared" si="1"/>
        <v>7285500</v>
      </c>
      <c r="H59" s="357" t="s">
        <v>281</v>
      </c>
      <c r="I59" s="351" t="s">
        <v>145</v>
      </c>
      <c r="J59" s="351"/>
      <c r="K59" s="351"/>
    </row>
    <row r="60" spans="1:11" ht="23.25" outlineLevel="1">
      <c r="A60" s="352">
        <v>40531</v>
      </c>
      <c r="B60" s="353">
        <f t="shared" si="2"/>
        <v>12</v>
      </c>
      <c r="C60" s="354"/>
      <c r="D60" s="354" t="s">
        <v>176</v>
      </c>
      <c r="E60" s="355"/>
      <c r="F60" s="382">
        <v>1158000</v>
      </c>
      <c r="G60" s="358">
        <f t="shared" si="1"/>
        <v>6127500</v>
      </c>
      <c r="H60" s="357" t="s">
        <v>285</v>
      </c>
      <c r="I60" s="351" t="s">
        <v>145</v>
      </c>
      <c r="J60" s="351"/>
      <c r="K60" s="351"/>
    </row>
    <row r="61" spans="1:11" ht="23.25" outlineLevel="1">
      <c r="A61" s="352">
        <v>40531</v>
      </c>
      <c r="B61" s="353">
        <f t="shared" si="2"/>
        <v>12</v>
      </c>
      <c r="C61" s="354"/>
      <c r="D61" s="354" t="s">
        <v>175</v>
      </c>
      <c r="E61" s="355"/>
      <c r="F61" s="382">
        <v>12000</v>
      </c>
      <c r="G61" s="358">
        <f t="shared" si="1"/>
        <v>6115500</v>
      </c>
      <c r="H61" s="357" t="s">
        <v>281</v>
      </c>
      <c r="I61" s="351"/>
      <c r="J61" s="351"/>
      <c r="K61" s="351"/>
    </row>
    <row r="62" spans="1:11" ht="23.25" outlineLevel="1">
      <c r="A62" s="352">
        <v>40532</v>
      </c>
      <c r="B62" s="353">
        <f t="shared" si="2"/>
        <v>12</v>
      </c>
      <c r="C62" s="354"/>
      <c r="D62" s="354" t="s">
        <v>146</v>
      </c>
      <c r="E62" s="355"/>
      <c r="F62" s="382">
        <v>16000</v>
      </c>
      <c r="G62" s="358">
        <f t="shared" si="1"/>
        <v>6099500</v>
      </c>
      <c r="H62" s="357" t="s">
        <v>288</v>
      </c>
      <c r="I62" s="351" t="s">
        <v>145</v>
      </c>
      <c r="J62" s="351"/>
      <c r="K62" s="351"/>
    </row>
    <row r="63" spans="1:11" ht="23.25" outlineLevel="1">
      <c r="A63" s="352">
        <v>40533</v>
      </c>
      <c r="B63" s="353">
        <f t="shared" si="2"/>
        <v>12</v>
      </c>
      <c r="C63" s="354"/>
      <c r="D63" s="354" t="s">
        <v>157</v>
      </c>
      <c r="E63" s="355"/>
      <c r="F63" s="382">
        <v>4000</v>
      </c>
      <c r="G63" s="358">
        <f t="shared" si="1"/>
        <v>6095500</v>
      </c>
      <c r="H63" s="357" t="s">
        <v>280</v>
      </c>
      <c r="I63" s="351" t="s">
        <v>145</v>
      </c>
      <c r="J63" s="351"/>
      <c r="K63" s="368"/>
    </row>
    <row r="64" spans="1:11" ht="23.25" outlineLevel="1">
      <c r="A64" s="352">
        <v>40534</v>
      </c>
      <c r="B64" s="353">
        <f t="shared" si="2"/>
        <v>12</v>
      </c>
      <c r="C64" s="354"/>
      <c r="D64" s="354" t="s">
        <v>147</v>
      </c>
      <c r="E64" s="355"/>
      <c r="F64" s="382">
        <v>200000</v>
      </c>
      <c r="G64" s="358">
        <f t="shared" si="1"/>
        <v>5895500</v>
      </c>
      <c r="H64" s="357" t="s">
        <v>285</v>
      </c>
      <c r="I64" s="351" t="s">
        <v>145</v>
      </c>
      <c r="J64" s="351"/>
      <c r="K64" s="351"/>
    </row>
    <row r="65" spans="1:11" ht="23.25" outlineLevel="1">
      <c r="A65" s="352">
        <v>40535</v>
      </c>
      <c r="B65" s="353">
        <f t="shared" si="2"/>
        <v>12</v>
      </c>
      <c r="C65" s="354"/>
      <c r="D65" s="354" t="s">
        <v>148</v>
      </c>
      <c r="E65" s="355"/>
      <c r="F65" s="382">
        <v>200000</v>
      </c>
      <c r="G65" s="358">
        <f t="shared" si="1"/>
        <v>5695500</v>
      </c>
      <c r="H65" s="357" t="s">
        <v>288</v>
      </c>
      <c r="I65" s="351" t="s">
        <v>149</v>
      </c>
      <c r="J65" s="351"/>
      <c r="K65" s="351"/>
    </row>
    <row r="66" spans="1:11" ht="23.25" outlineLevel="1">
      <c r="A66" s="352">
        <v>40535</v>
      </c>
      <c r="B66" s="353">
        <f t="shared" si="2"/>
        <v>12</v>
      </c>
      <c r="C66" s="354"/>
      <c r="D66" s="354" t="s">
        <v>150</v>
      </c>
      <c r="E66" s="355"/>
      <c r="F66" s="383">
        <v>35000</v>
      </c>
      <c r="G66" s="358">
        <f t="shared" si="1"/>
        <v>5660500</v>
      </c>
      <c r="H66" s="357" t="s">
        <v>281</v>
      </c>
      <c r="I66" s="351"/>
      <c r="J66" s="351"/>
      <c r="K66" s="384"/>
    </row>
    <row r="67" spans="1:11" ht="23.25" outlineLevel="1">
      <c r="A67" s="352">
        <v>40536</v>
      </c>
      <c r="B67" s="353">
        <f t="shared" si="2"/>
        <v>12</v>
      </c>
      <c r="C67" s="354"/>
      <c r="D67" s="354" t="s">
        <v>151</v>
      </c>
      <c r="E67" s="355"/>
      <c r="F67" s="382">
        <v>6500</v>
      </c>
      <c r="G67" s="358">
        <f t="shared" si="1"/>
        <v>5654000</v>
      </c>
      <c r="H67" s="357" t="s">
        <v>281</v>
      </c>
      <c r="I67" s="351"/>
      <c r="J67" s="351"/>
      <c r="K67" s="351"/>
    </row>
    <row r="68" spans="1:11" ht="23.25" outlineLevel="1">
      <c r="A68" s="352">
        <v>40536</v>
      </c>
      <c r="B68" s="353">
        <f t="shared" si="2"/>
        <v>12</v>
      </c>
      <c r="C68" s="354"/>
      <c r="D68" s="354" t="s">
        <v>152</v>
      </c>
      <c r="E68" s="355">
        <v>3000000</v>
      </c>
      <c r="F68" s="355"/>
      <c r="G68" s="358">
        <f t="shared" si="1"/>
        <v>8654000</v>
      </c>
      <c r="H68" s="357" t="s">
        <v>315</v>
      </c>
      <c r="I68" s="351" t="s">
        <v>145</v>
      </c>
      <c r="J68" s="351"/>
      <c r="K68" s="351"/>
    </row>
    <row r="69" spans="1:11" ht="23.25" outlineLevel="1">
      <c r="A69" s="352">
        <v>40536</v>
      </c>
      <c r="B69" s="353">
        <f t="shared" si="2"/>
        <v>12</v>
      </c>
      <c r="C69" s="354"/>
      <c r="D69" s="354" t="s">
        <v>153</v>
      </c>
      <c r="E69" s="355"/>
      <c r="F69" s="382">
        <v>2280000</v>
      </c>
      <c r="G69" s="358">
        <f t="shared" si="1"/>
        <v>6374000</v>
      </c>
      <c r="H69" s="357" t="s">
        <v>285</v>
      </c>
      <c r="I69" s="351" t="s">
        <v>145</v>
      </c>
      <c r="J69" s="351"/>
      <c r="K69" s="351"/>
    </row>
    <row r="70" spans="1:11" ht="23.25" outlineLevel="1">
      <c r="A70" s="352">
        <v>40536</v>
      </c>
      <c r="B70" s="353">
        <f t="shared" si="2"/>
        <v>12</v>
      </c>
      <c r="C70" s="354"/>
      <c r="D70" s="354" t="s">
        <v>154</v>
      </c>
      <c r="E70" s="355"/>
      <c r="F70" s="382">
        <v>20000</v>
      </c>
      <c r="G70" s="358">
        <f t="shared" si="1"/>
        <v>6354000</v>
      </c>
      <c r="H70" s="357" t="s">
        <v>280</v>
      </c>
      <c r="I70" s="351"/>
      <c r="J70" s="351"/>
      <c r="K70" s="351"/>
    </row>
    <row r="71" spans="1:11" ht="23.25" outlineLevel="1">
      <c r="A71" s="352">
        <v>40536</v>
      </c>
      <c r="B71" s="353">
        <f t="shared" si="2"/>
        <v>12</v>
      </c>
      <c r="C71" s="354"/>
      <c r="D71" s="354" t="s">
        <v>168</v>
      </c>
      <c r="E71" s="355"/>
      <c r="F71" s="382">
        <v>20000</v>
      </c>
      <c r="G71" s="358">
        <f t="shared" ref="G71:G134" si="3">IF(E71+F71&gt;0,G70+E71-F71,"")</f>
        <v>6334000</v>
      </c>
      <c r="H71" s="357" t="s">
        <v>280</v>
      </c>
      <c r="I71" s="351"/>
      <c r="J71" s="351"/>
      <c r="K71" s="351"/>
    </row>
    <row r="72" spans="1:11" ht="23.25" outlineLevel="1">
      <c r="A72" s="352">
        <v>40536</v>
      </c>
      <c r="B72" s="353">
        <f t="shared" si="2"/>
        <v>12</v>
      </c>
      <c r="C72" s="354"/>
      <c r="D72" s="354" t="s">
        <v>169</v>
      </c>
      <c r="E72" s="355"/>
      <c r="F72" s="382">
        <v>8400</v>
      </c>
      <c r="G72" s="358">
        <f t="shared" si="3"/>
        <v>6325600</v>
      </c>
      <c r="H72" s="357" t="s">
        <v>280</v>
      </c>
      <c r="I72" s="351"/>
      <c r="J72" s="351"/>
      <c r="K72" s="351"/>
    </row>
    <row r="73" spans="1:11" ht="23.25" outlineLevel="1">
      <c r="A73" s="352">
        <v>40539</v>
      </c>
      <c r="B73" s="353">
        <f t="shared" ref="B73:B101" si="4">IF(A73=0,"",MONTH(A73))</f>
        <v>12</v>
      </c>
      <c r="C73" s="354"/>
      <c r="D73" s="354" t="s">
        <v>147</v>
      </c>
      <c r="E73" s="355"/>
      <c r="F73" s="382">
        <v>200000</v>
      </c>
      <c r="G73" s="358">
        <f t="shared" si="3"/>
        <v>6125600</v>
      </c>
      <c r="H73" s="357" t="s">
        <v>286</v>
      </c>
      <c r="I73" s="351" t="s">
        <v>145</v>
      </c>
      <c r="J73" s="351"/>
      <c r="K73" s="351"/>
    </row>
    <row r="74" spans="1:11" ht="23.25" outlineLevel="1">
      <c r="A74" s="352">
        <v>40539</v>
      </c>
      <c r="B74" s="353">
        <f t="shared" si="4"/>
        <v>12</v>
      </c>
      <c r="C74" s="354"/>
      <c r="D74" s="354" t="s">
        <v>157</v>
      </c>
      <c r="E74" s="355"/>
      <c r="F74" s="382">
        <v>4000</v>
      </c>
      <c r="G74" s="358">
        <f t="shared" si="3"/>
        <v>6121600</v>
      </c>
      <c r="H74" s="357" t="s">
        <v>280</v>
      </c>
      <c r="I74" s="351" t="s">
        <v>145</v>
      </c>
      <c r="J74" s="351"/>
      <c r="K74" s="351"/>
    </row>
    <row r="75" spans="1:11" ht="23.25" outlineLevel="1">
      <c r="A75" s="352">
        <v>40542</v>
      </c>
      <c r="B75" s="353">
        <f t="shared" si="4"/>
        <v>12</v>
      </c>
      <c r="C75" s="354"/>
      <c r="D75" s="354" t="s">
        <v>155</v>
      </c>
      <c r="E75" s="355"/>
      <c r="F75" s="382">
        <v>39900</v>
      </c>
      <c r="G75" s="358">
        <f t="shared" si="3"/>
        <v>6081700</v>
      </c>
      <c r="H75" s="357" t="s">
        <v>285</v>
      </c>
      <c r="I75" s="351"/>
      <c r="J75" s="351"/>
      <c r="K75" s="368"/>
    </row>
    <row r="76" spans="1:11" ht="23.25" outlineLevel="1">
      <c r="A76" s="352">
        <v>40545</v>
      </c>
      <c r="B76" s="353">
        <f t="shared" si="4"/>
        <v>1</v>
      </c>
      <c r="C76" s="354"/>
      <c r="D76" s="354" t="s">
        <v>154</v>
      </c>
      <c r="E76" s="355"/>
      <c r="F76" s="382">
        <v>24000</v>
      </c>
      <c r="G76" s="358">
        <f t="shared" si="3"/>
        <v>6057700</v>
      </c>
      <c r="H76" s="357" t="s">
        <v>280</v>
      </c>
      <c r="I76" s="351" t="s">
        <v>145</v>
      </c>
      <c r="J76" s="351"/>
      <c r="K76" s="351"/>
    </row>
    <row r="77" spans="1:11" ht="23.25" outlineLevel="1">
      <c r="A77" s="352">
        <v>40545</v>
      </c>
      <c r="B77" s="353">
        <f t="shared" si="4"/>
        <v>1</v>
      </c>
      <c r="C77" s="354"/>
      <c r="D77" s="354" t="s">
        <v>45</v>
      </c>
      <c r="E77" s="355"/>
      <c r="F77" s="382">
        <v>1920000</v>
      </c>
      <c r="G77" s="358">
        <f t="shared" si="3"/>
        <v>4137700</v>
      </c>
      <c r="H77" s="357" t="s">
        <v>285</v>
      </c>
      <c r="I77" s="351"/>
      <c r="J77" s="351"/>
      <c r="K77" s="351"/>
    </row>
    <row r="78" spans="1:11" ht="23.25" outlineLevel="1">
      <c r="A78" s="352">
        <v>40546</v>
      </c>
      <c r="B78" s="353">
        <f t="shared" si="4"/>
        <v>1</v>
      </c>
      <c r="C78" s="354"/>
      <c r="D78" s="354" t="s">
        <v>158</v>
      </c>
      <c r="E78" s="355"/>
      <c r="F78" s="382">
        <v>4200</v>
      </c>
      <c r="G78" s="358">
        <f t="shared" si="3"/>
        <v>4133500</v>
      </c>
      <c r="H78" s="357" t="s">
        <v>280</v>
      </c>
      <c r="I78" s="351" t="s">
        <v>145</v>
      </c>
      <c r="J78" s="351"/>
      <c r="K78" s="351"/>
    </row>
    <row r="79" spans="1:11" ht="23.25" outlineLevel="1">
      <c r="A79" s="352">
        <v>40546</v>
      </c>
      <c r="B79" s="353">
        <f t="shared" si="4"/>
        <v>1</v>
      </c>
      <c r="C79" s="354"/>
      <c r="D79" s="354" t="s">
        <v>174</v>
      </c>
      <c r="E79" s="355"/>
      <c r="F79" s="382">
        <v>4000</v>
      </c>
      <c r="G79" s="358">
        <f t="shared" si="3"/>
        <v>4129500</v>
      </c>
      <c r="H79" s="357" t="s">
        <v>284</v>
      </c>
      <c r="I79" s="351"/>
      <c r="J79" s="351"/>
      <c r="K79" s="351"/>
    </row>
    <row r="80" spans="1:11" ht="23.25" outlineLevel="1">
      <c r="A80" s="352">
        <v>40546</v>
      </c>
      <c r="B80" s="353">
        <f t="shared" si="4"/>
        <v>1</v>
      </c>
      <c r="C80" s="354"/>
      <c r="D80" s="354" t="s">
        <v>159</v>
      </c>
      <c r="E80" s="355"/>
      <c r="F80" s="382">
        <v>10000</v>
      </c>
      <c r="G80" s="358">
        <f t="shared" si="3"/>
        <v>4119500</v>
      </c>
      <c r="H80" s="357" t="s">
        <v>285</v>
      </c>
      <c r="I80" s="351"/>
      <c r="J80" s="351"/>
      <c r="K80" s="351"/>
    </row>
    <row r="81" spans="1:12" ht="23.25" outlineLevel="1">
      <c r="A81" s="352">
        <v>40549</v>
      </c>
      <c r="B81" s="353">
        <f t="shared" si="4"/>
        <v>1</v>
      </c>
      <c r="C81" s="354"/>
      <c r="D81" s="354" t="s">
        <v>156</v>
      </c>
      <c r="E81" s="355"/>
      <c r="F81" s="382">
        <v>4000</v>
      </c>
      <c r="G81" s="358">
        <f t="shared" si="3"/>
        <v>4115500</v>
      </c>
      <c r="H81" s="357" t="s">
        <v>280</v>
      </c>
      <c r="I81" s="351"/>
      <c r="J81" s="351"/>
      <c r="K81" s="351"/>
    </row>
    <row r="82" spans="1:12" ht="23.25" outlineLevel="1">
      <c r="A82" s="352">
        <v>40550</v>
      </c>
      <c r="B82" s="353">
        <f t="shared" si="4"/>
        <v>1</v>
      </c>
      <c r="C82" s="354"/>
      <c r="D82" s="354" t="s">
        <v>153</v>
      </c>
      <c r="E82" s="355"/>
      <c r="F82" s="382">
        <v>1940000</v>
      </c>
      <c r="G82" s="358">
        <f t="shared" si="3"/>
        <v>2175500</v>
      </c>
      <c r="H82" s="357" t="s">
        <v>285</v>
      </c>
      <c r="I82" s="351"/>
      <c r="J82" s="351"/>
      <c r="K82" s="351"/>
    </row>
    <row r="83" spans="1:12" ht="23.25" outlineLevel="1">
      <c r="A83" s="352">
        <v>40550</v>
      </c>
      <c r="B83" s="353">
        <f t="shared" si="4"/>
        <v>1</v>
      </c>
      <c r="C83" s="354"/>
      <c r="D83" s="354" t="s">
        <v>154</v>
      </c>
      <c r="E83" s="355"/>
      <c r="F83" s="382">
        <v>20000</v>
      </c>
      <c r="G83" s="358">
        <f t="shared" si="3"/>
        <v>2155500</v>
      </c>
      <c r="H83" s="357" t="s">
        <v>285</v>
      </c>
      <c r="I83" s="351"/>
      <c r="J83" s="351"/>
      <c r="K83" s="351"/>
    </row>
    <row r="84" spans="1:12" ht="23.25" outlineLevel="1">
      <c r="A84" s="352">
        <v>40553</v>
      </c>
      <c r="B84" s="353">
        <f t="shared" si="4"/>
        <v>1</v>
      </c>
      <c r="C84" s="354"/>
      <c r="D84" s="354" t="s">
        <v>160</v>
      </c>
      <c r="E84" s="355"/>
      <c r="F84" s="382">
        <v>15000</v>
      </c>
      <c r="G84" s="358">
        <f t="shared" si="3"/>
        <v>2140500</v>
      </c>
      <c r="H84" s="357" t="s">
        <v>290</v>
      </c>
      <c r="I84" s="351" t="s">
        <v>161</v>
      </c>
      <c r="J84" s="351"/>
      <c r="K84" s="351"/>
    </row>
    <row r="85" spans="1:12" ht="23.25" outlineLevel="1">
      <c r="A85" s="352">
        <v>40553</v>
      </c>
      <c r="B85" s="353">
        <f t="shared" si="4"/>
        <v>1</v>
      </c>
      <c r="C85" s="354"/>
      <c r="D85" s="354" t="s">
        <v>156</v>
      </c>
      <c r="E85" s="355"/>
      <c r="F85" s="382">
        <v>4000</v>
      </c>
      <c r="G85" s="358">
        <f t="shared" si="3"/>
        <v>2136500</v>
      </c>
      <c r="H85" s="357" t="s">
        <v>280</v>
      </c>
      <c r="I85" s="351"/>
      <c r="J85" s="351"/>
      <c r="K85" s="351"/>
    </row>
    <row r="86" spans="1:12" ht="23.25" outlineLevel="1">
      <c r="A86" s="352">
        <v>40555</v>
      </c>
      <c r="B86" s="353">
        <f t="shared" si="4"/>
        <v>1</v>
      </c>
      <c r="C86" s="354"/>
      <c r="D86" s="354" t="s">
        <v>157</v>
      </c>
      <c r="E86" s="355"/>
      <c r="F86" s="382">
        <v>8800</v>
      </c>
      <c r="G86" s="358">
        <f t="shared" si="3"/>
        <v>2127700</v>
      </c>
      <c r="H86" s="357" t="s">
        <v>280</v>
      </c>
      <c r="I86" s="351" t="s">
        <v>145</v>
      </c>
      <c r="J86" s="351"/>
      <c r="K86" s="351"/>
    </row>
    <row r="87" spans="1:12" ht="23.25" outlineLevel="1">
      <c r="A87" s="352">
        <v>40555</v>
      </c>
      <c r="B87" s="353">
        <f t="shared" si="4"/>
        <v>1</v>
      </c>
      <c r="C87" s="354"/>
      <c r="D87" s="354" t="s">
        <v>153</v>
      </c>
      <c r="E87" s="355"/>
      <c r="F87" s="382">
        <v>1649000</v>
      </c>
      <c r="G87" s="358">
        <f t="shared" si="3"/>
        <v>478700</v>
      </c>
      <c r="H87" s="357" t="s">
        <v>285</v>
      </c>
      <c r="I87" s="351" t="s">
        <v>145</v>
      </c>
      <c r="J87" s="351"/>
      <c r="K87" s="351"/>
    </row>
    <row r="88" spans="1:12" ht="23.25" outlineLevel="1">
      <c r="A88" s="352">
        <v>40555</v>
      </c>
      <c r="B88" s="353">
        <f t="shared" si="4"/>
        <v>1</v>
      </c>
      <c r="C88" s="354"/>
      <c r="D88" s="354" t="s">
        <v>147</v>
      </c>
      <c r="E88" s="355"/>
      <c r="F88" s="382">
        <v>100000</v>
      </c>
      <c r="G88" s="358">
        <f t="shared" si="3"/>
        <v>378700</v>
      </c>
      <c r="H88" s="357" t="s">
        <v>286</v>
      </c>
      <c r="I88" s="351" t="s">
        <v>145</v>
      </c>
      <c r="J88" s="351"/>
      <c r="K88" s="351"/>
    </row>
    <row r="89" spans="1:12" ht="23.25" outlineLevel="1">
      <c r="A89" s="352">
        <v>40555</v>
      </c>
      <c r="B89" s="353">
        <f t="shared" si="4"/>
        <v>1</v>
      </c>
      <c r="C89" s="354"/>
      <c r="D89" s="354" t="s">
        <v>163</v>
      </c>
      <c r="E89" s="355"/>
      <c r="F89" s="382">
        <v>20000</v>
      </c>
      <c r="G89" s="358">
        <f t="shared" si="3"/>
        <v>358700</v>
      </c>
      <c r="H89" s="357" t="s">
        <v>285</v>
      </c>
      <c r="I89" s="351" t="s">
        <v>145</v>
      </c>
      <c r="J89" s="351"/>
      <c r="K89" s="351"/>
    </row>
    <row r="90" spans="1:12" ht="23.25" outlineLevel="1">
      <c r="A90" s="352">
        <v>40555</v>
      </c>
      <c r="B90" s="353">
        <f t="shared" si="4"/>
        <v>1</v>
      </c>
      <c r="C90" s="354"/>
      <c r="D90" s="354" t="s">
        <v>164</v>
      </c>
      <c r="E90" s="355"/>
      <c r="F90" s="382">
        <v>57000</v>
      </c>
      <c r="G90" s="358">
        <f t="shared" si="3"/>
        <v>301700</v>
      </c>
      <c r="H90" s="357" t="s">
        <v>281</v>
      </c>
      <c r="I90" s="351" t="s">
        <v>145</v>
      </c>
      <c r="J90" s="351"/>
      <c r="K90" s="351"/>
    </row>
    <row r="91" spans="1:12" ht="23.25" outlineLevel="1">
      <c r="A91" s="352">
        <v>40555</v>
      </c>
      <c r="B91" s="353">
        <f t="shared" si="4"/>
        <v>1</v>
      </c>
      <c r="C91" s="354"/>
      <c r="D91" s="354" t="s">
        <v>152</v>
      </c>
      <c r="E91" s="355">
        <v>7000000</v>
      </c>
      <c r="F91" s="355"/>
      <c r="G91" s="358">
        <f t="shared" si="3"/>
        <v>7301700</v>
      </c>
      <c r="H91" s="357" t="s">
        <v>315</v>
      </c>
      <c r="I91" s="351"/>
      <c r="J91" s="351"/>
      <c r="K91" s="351"/>
    </row>
    <row r="92" spans="1:12" ht="23.25" outlineLevel="1">
      <c r="A92" s="352">
        <v>40555</v>
      </c>
      <c r="B92" s="353">
        <f t="shared" si="4"/>
        <v>1</v>
      </c>
      <c r="C92" s="354"/>
      <c r="D92" s="354" t="s">
        <v>162</v>
      </c>
      <c r="E92" s="355"/>
      <c r="F92" s="382">
        <v>20000</v>
      </c>
      <c r="G92" s="358">
        <f t="shared" si="3"/>
        <v>7281700</v>
      </c>
      <c r="H92" s="357" t="s">
        <v>280</v>
      </c>
      <c r="I92" s="351"/>
      <c r="J92" s="351"/>
      <c r="K92" s="351"/>
    </row>
    <row r="93" spans="1:12" ht="23.25" outlineLevel="1">
      <c r="A93" s="352">
        <v>40558</v>
      </c>
      <c r="B93" s="353">
        <f t="shared" si="4"/>
        <v>1</v>
      </c>
      <c r="C93" s="354"/>
      <c r="D93" s="354" t="s">
        <v>156</v>
      </c>
      <c r="E93" s="355"/>
      <c r="F93" s="382">
        <v>4000</v>
      </c>
      <c r="G93" s="358">
        <f t="shared" si="3"/>
        <v>7277700</v>
      </c>
      <c r="H93" s="357" t="s">
        <v>280</v>
      </c>
      <c r="I93" s="351" t="s">
        <v>145</v>
      </c>
      <c r="J93" s="351"/>
      <c r="K93" s="351"/>
    </row>
    <row r="94" spans="1:12" ht="23.25" outlineLevel="1">
      <c r="A94" s="352">
        <v>40559</v>
      </c>
      <c r="B94" s="353">
        <f t="shared" si="4"/>
        <v>1</v>
      </c>
      <c r="C94" s="354"/>
      <c r="D94" s="354" t="s">
        <v>165</v>
      </c>
      <c r="E94" s="355"/>
      <c r="F94" s="382">
        <v>12600</v>
      </c>
      <c r="G94" s="358">
        <f t="shared" si="3"/>
        <v>7265100</v>
      </c>
      <c r="H94" s="357" t="s">
        <v>285</v>
      </c>
      <c r="I94" s="351" t="s">
        <v>166</v>
      </c>
      <c r="J94" s="351"/>
      <c r="K94" s="351"/>
    </row>
    <row r="95" spans="1:12" ht="23.25" outlineLevel="1">
      <c r="A95" s="352">
        <v>40562</v>
      </c>
      <c r="B95" s="353">
        <f t="shared" si="4"/>
        <v>1</v>
      </c>
      <c r="C95" s="354"/>
      <c r="D95" s="354" t="s">
        <v>167</v>
      </c>
      <c r="E95" s="355"/>
      <c r="F95" s="382">
        <v>98000</v>
      </c>
      <c r="G95" s="358">
        <f t="shared" si="3"/>
        <v>7167100</v>
      </c>
      <c r="H95" s="357" t="s">
        <v>285</v>
      </c>
      <c r="I95" s="351"/>
      <c r="J95" s="351"/>
      <c r="K95" s="351"/>
    </row>
    <row r="96" spans="1:12" ht="23.25" outlineLevel="1">
      <c r="A96" s="352">
        <v>40565</v>
      </c>
      <c r="B96" s="353">
        <f t="shared" si="4"/>
        <v>1</v>
      </c>
      <c r="C96" s="354"/>
      <c r="D96" s="354" t="s">
        <v>167</v>
      </c>
      <c r="E96" s="355"/>
      <c r="F96" s="382">
        <v>98000</v>
      </c>
      <c r="G96" s="358">
        <f t="shared" si="3"/>
        <v>7069100</v>
      </c>
      <c r="H96" s="357" t="s">
        <v>285</v>
      </c>
      <c r="I96" s="351"/>
      <c r="J96" s="385"/>
      <c r="K96" s="368"/>
      <c r="L96" s="66"/>
    </row>
    <row r="97" spans="1:11" ht="23.25" outlineLevel="1">
      <c r="A97" s="352">
        <v>40577</v>
      </c>
      <c r="B97" s="353">
        <f t="shared" si="4"/>
        <v>2</v>
      </c>
      <c r="C97" s="354"/>
      <c r="D97" s="354" t="s">
        <v>171</v>
      </c>
      <c r="E97" s="355"/>
      <c r="F97" s="355">
        <v>9000</v>
      </c>
      <c r="G97" s="358">
        <f t="shared" si="3"/>
        <v>7060100</v>
      </c>
      <c r="H97" s="357" t="s">
        <v>281</v>
      </c>
      <c r="I97" s="351"/>
      <c r="J97" s="351"/>
      <c r="K97" s="351"/>
    </row>
    <row r="98" spans="1:11" ht="23.25" outlineLevel="1">
      <c r="A98" s="352">
        <v>40578</v>
      </c>
      <c r="B98" s="353">
        <f t="shared" si="4"/>
        <v>2</v>
      </c>
      <c r="C98" s="354"/>
      <c r="D98" s="354" t="s">
        <v>172</v>
      </c>
      <c r="E98" s="355"/>
      <c r="F98" s="355">
        <v>44000</v>
      </c>
      <c r="G98" s="358">
        <f t="shared" si="3"/>
        <v>7016100</v>
      </c>
      <c r="H98" s="357" t="s">
        <v>281</v>
      </c>
      <c r="I98" s="351"/>
      <c r="J98" s="351"/>
      <c r="K98" s="351"/>
    </row>
    <row r="99" spans="1:11" ht="23.25" outlineLevel="1">
      <c r="A99" s="352">
        <v>40582</v>
      </c>
      <c r="B99" s="353">
        <f t="shared" si="4"/>
        <v>2</v>
      </c>
      <c r="C99" s="354"/>
      <c r="D99" s="354" t="s">
        <v>173</v>
      </c>
      <c r="E99" s="355"/>
      <c r="F99" s="355">
        <v>12000</v>
      </c>
      <c r="G99" s="358">
        <f t="shared" si="3"/>
        <v>7004100</v>
      </c>
      <c r="H99" s="357" t="s">
        <v>281</v>
      </c>
      <c r="I99" s="351" t="s">
        <v>179</v>
      </c>
      <c r="J99" s="368">
        <f>G99-G96</f>
        <v>-65000</v>
      </c>
      <c r="K99" s="351"/>
    </row>
    <row r="100" spans="1:11" ht="23.25" outlineLevel="1">
      <c r="A100" s="352">
        <v>40582</v>
      </c>
      <c r="B100" s="353">
        <f t="shared" si="4"/>
        <v>2</v>
      </c>
      <c r="C100" s="354"/>
      <c r="D100" s="354" t="s">
        <v>342</v>
      </c>
      <c r="E100" s="355"/>
      <c r="F100" s="355">
        <v>4700</v>
      </c>
      <c r="G100" s="358">
        <f t="shared" si="3"/>
        <v>6999400</v>
      </c>
      <c r="H100" s="357" t="s">
        <v>280</v>
      </c>
      <c r="I100" s="351"/>
      <c r="J100" s="351"/>
      <c r="K100" s="351"/>
    </row>
    <row r="101" spans="1:11" ht="23.25" outlineLevel="1">
      <c r="A101" s="352">
        <v>40583</v>
      </c>
      <c r="B101" s="353">
        <f t="shared" si="4"/>
        <v>2</v>
      </c>
      <c r="C101" s="354"/>
      <c r="D101" s="354" t="s">
        <v>343</v>
      </c>
      <c r="E101" s="355"/>
      <c r="F101" s="355">
        <v>4000</v>
      </c>
      <c r="G101" s="358">
        <f t="shared" si="3"/>
        <v>6995400</v>
      </c>
      <c r="H101" s="357" t="s">
        <v>285</v>
      </c>
      <c r="I101" s="351"/>
      <c r="J101" s="351"/>
      <c r="K101" s="351"/>
    </row>
    <row r="102" spans="1:11" ht="23.25" outlineLevel="1">
      <c r="A102" s="352">
        <v>40584</v>
      </c>
      <c r="B102" s="353">
        <f>IF(A102=0,"",MONTH(A102))</f>
        <v>2</v>
      </c>
      <c r="C102" s="354"/>
      <c r="D102" s="354" t="s">
        <v>344</v>
      </c>
      <c r="E102" s="355"/>
      <c r="F102" s="355">
        <v>40000</v>
      </c>
      <c r="G102" s="358">
        <f t="shared" si="3"/>
        <v>6955400</v>
      </c>
      <c r="H102" s="357" t="s">
        <v>281</v>
      </c>
      <c r="I102" s="351"/>
      <c r="J102" s="351"/>
      <c r="K102" s="351"/>
    </row>
    <row r="103" spans="1:11" ht="23.25" outlineLevel="1">
      <c r="A103" s="352">
        <v>40584</v>
      </c>
      <c r="B103" s="353">
        <f>IF(A103=0,"",MONTH(A103))</f>
        <v>2</v>
      </c>
      <c r="C103" s="354"/>
      <c r="D103" s="354" t="s">
        <v>345</v>
      </c>
      <c r="E103" s="355"/>
      <c r="F103" s="355">
        <v>12600</v>
      </c>
      <c r="G103" s="358">
        <f t="shared" si="3"/>
        <v>6942800</v>
      </c>
      <c r="H103" s="357" t="s">
        <v>280</v>
      </c>
      <c r="I103" s="351"/>
      <c r="J103" s="351"/>
      <c r="K103" s="351"/>
    </row>
    <row r="104" spans="1:11" ht="23.25" outlineLevel="1">
      <c r="A104" s="352">
        <v>40584</v>
      </c>
      <c r="B104" s="353">
        <f>IF(A104=0,"",MONTH(A104))</f>
        <v>2</v>
      </c>
      <c r="C104" s="354"/>
      <c r="D104" s="395" t="s">
        <v>346</v>
      </c>
      <c r="E104" s="355"/>
      <c r="F104" s="355">
        <v>40000</v>
      </c>
      <c r="G104" s="358">
        <f t="shared" si="3"/>
        <v>6902800</v>
      </c>
      <c r="H104" s="357" t="s">
        <v>285</v>
      </c>
      <c r="I104" s="351"/>
      <c r="J104" s="351"/>
      <c r="K104" s="351"/>
    </row>
    <row r="105" spans="1:11" ht="23.25" outlineLevel="1">
      <c r="A105" s="352">
        <v>40584</v>
      </c>
      <c r="B105" s="353">
        <f t="shared" ref="B105:B136" si="5">IF(A105=0,"",MONTH(A105))</f>
        <v>2</v>
      </c>
      <c r="C105" s="354"/>
      <c r="D105" s="354" t="s">
        <v>347</v>
      </c>
      <c r="E105" s="355"/>
      <c r="F105" s="355">
        <v>5000000</v>
      </c>
      <c r="G105" s="358">
        <f t="shared" si="3"/>
        <v>1902800</v>
      </c>
      <c r="H105" s="357" t="s">
        <v>315</v>
      </c>
      <c r="I105" s="351"/>
      <c r="J105" s="351"/>
      <c r="K105" s="351"/>
    </row>
    <row r="106" spans="1:11" ht="23.25" outlineLevel="1">
      <c r="A106" s="352">
        <v>40591</v>
      </c>
      <c r="B106" s="353">
        <f t="shared" si="5"/>
        <v>2</v>
      </c>
      <c r="C106" s="354"/>
      <c r="D106" s="354" t="s">
        <v>348</v>
      </c>
      <c r="E106" s="355"/>
      <c r="F106" s="355">
        <v>140000</v>
      </c>
      <c r="G106" s="358">
        <f t="shared" si="3"/>
        <v>1762800</v>
      </c>
      <c r="H106" s="357" t="s">
        <v>272</v>
      </c>
      <c r="I106" s="351"/>
      <c r="J106" s="351"/>
      <c r="K106" s="351"/>
    </row>
    <row r="107" spans="1:11" ht="23.25" outlineLevel="1">
      <c r="A107" s="352">
        <v>40591</v>
      </c>
      <c r="B107" s="353">
        <f t="shared" si="5"/>
        <v>2</v>
      </c>
      <c r="C107" s="354"/>
      <c r="D107" s="354" t="s">
        <v>349</v>
      </c>
      <c r="E107" s="355"/>
      <c r="F107" s="355">
        <v>130000</v>
      </c>
      <c r="G107" s="358">
        <f t="shared" si="3"/>
        <v>1632800</v>
      </c>
      <c r="H107" s="357" t="s">
        <v>273</v>
      </c>
      <c r="I107" s="351"/>
      <c r="J107" s="351"/>
      <c r="K107" s="351"/>
    </row>
    <row r="108" spans="1:11" ht="23.25" outlineLevel="1">
      <c r="A108" s="352">
        <v>40591</v>
      </c>
      <c r="B108" s="353">
        <f t="shared" si="5"/>
        <v>2</v>
      </c>
      <c r="C108" s="354"/>
      <c r="D108" s="354" t="s">
        <v>350</v>
      </c>
      <c r="E108" s="355"/>
      <c r="F108" s="355">
        <v>130000</v>
      </c>
      <c r="G108" s="358">
        <f t="shared" si="3"/>
        <v>1502800</v>
      </c>
      <c r="H108" s="357" t="s">
        <v>273</v>
      </c>
      <c r="I108" s="351"/>
      <c r="J108" s="351"/>
      <c r="K108" s="351"/>
    </row>
    <row r="109" spans="1:11" ht="23.25" outlineLevel="1">
      <c r="A109" s="352">
        <v>40591</v>
      </c>
      <c r="B109" s="353">
        <f t="shared" si="5"/>
        <v>2</v>
      </c>
      <c r="C109" s="354"/>
      <c r="D109" s="354" t="s">
        <v>351</v>
      </c>
      <c r="E109" s="355"/>
      <c r="F109" s="355">
        <v>130000</v>
      </c>
      <c r="G109" s="358">
        <f t="shared" si="3"/>
        <v>1372800</v>
      </c>
      <c r="H109" s="357" t="s">
        <v>273</v>
      </c>
      <c r="I109" s="351"/>
      <c r="J109" s="351"/>
      <c r="K109" s="351"/>
    </row>
    <row r="110" spans="1:11" ht="23.25" outlineLevel="1">
      <c r="A110" s="352">
        <v>40591</v>
      </c>
      <c r="B110" s="353">
        <f t="shared" si="5"/>
        <v>2</v>
      </c>
      <c r="C110" s="354"/>
      <c r="D110" s="354" t="s">
        <v>352</v>
      </c>
      <c r="E110" s="355"/>
      <c r="F110" s="355">
        <v>100000</v>
      </c>
      <c r="G110" s="358">
        <f t="shared" si="3"/>
        <v>1272800</v>
      </c>
      <c r="H110" s="357" t="s">
        <v>275</v>
      </c>
      <c r="I110" s="351"/>
      <c r="J110" s="351"/>
      <c r="K110" s="351"/>
    </row>
    <row r="111" spans="1:11" ht="23.25" outlineLevel="1">
      <c r="A111" s="352">
        <v>40591</v>
      </c>
      <c r="B111" s="353">
        <f t="shared" si="5"/>
        <v>2</v>
      </c>
      <c r="C111" s="354"/>
      <c r="D111" s="354" t="s">
        <v>353</v>
      </c>
      <c r="E111" s="355"/>
      <c r="F111" s="355">
        <v>100000</v>
      </c>
      <c r="G111" s="358">
        <f t="shared" si="3"/>
        <v>1172800</v>
      </c>
      <c r="H111" s="357" t="s">
        <v>274</v>
      </c>
      <c r="I111" s="351"/>
      <c r="J111" s="351"/>
      <c r="K111" s="351"/>
    </row>
    <row r="112" spans="1:11" ht="23.25" outlineLevel="1">
      <c r="A112" s="352">
        <v>40591</v>
      </c>
      <c r="B112" s="353">
        <f t="shared" si="5"/>
        <v>2</v>
      </c>
      <c r="C112" s="354"/>
      <c r="D112" s="354" t="s">
        <v>354</v>
      </c>
      <c r="E112" s="355"/>
      <c r="F112" s="355">
        <v>100000</v>
      </c>
      <c r="G112" s="358">
        <f t="shared" si="3"/>
        <v>1072800</v>
      </c>
      <c r="H112" s="357" t="s">
        <v>275</v>
      </c>
      <c r="I112" s="351"/>
      <c r="J112" s="351"/>
      <c r="K112" s="351"/>
    </row>
    <row r="113" spans="1:11" ht="23.25" outlineLevel="1">
      <c r="A113" s="352">
        <v>40591</v>
      </c>
      <c r="B113" s="353">
        <f t="shared" si="5"/>
        <v>2</v>
      </c>
      <c r="C113" s="354"/>
      <c r="D113" s="354" t="s">
        <v>355</v>
      </c>
      <c r="E113" s="355"/>
      <c r="F113" s="355">
        <v>100000</v>
      </c>
      <c r="G113" s="358">
        <f t="shared" si="3"/>
        <v>972800</v>
      </c>
      <c r="H113" s="357" t="s">
        <v>274</v>
      </c>
      <c r="I113" s="351"/>
      <c r="J113" s="351"/>
      <c r="K113" s="351"/>
    </row>
    <row r="114" spans="1:11" ht="23.25" outlineLevel="1">
      <c r="A114" s="352">
        <v>40591</v>
      </c>
      <c r="B114" s="353">
        <f t="shared" si="5"/>
        <v>2</v>
      </c>
      <c r="C114" s="354"/>
      <c r="D114" s="354" t="s">
        <v>356</v>
      </c>
      <c r="E114" s="355"/>
      <c r="F114" s="355">
        <v>100000</v>
      </c>
      <c r="G114" s="358">
        <f t="shared" si="3"/>
        <v>872800</v>
      </c>
      <c r="H114" s="357" t="s">
        <v>274</v>
      </c>
      <c r="I114" s="351"/>
      <c r="J114" s="351"/>
      <c r="K114" s="351"/>
    </row>
    <row r="115" spans="1:11" ht="23.25" outlineLevel="1">
      <c r="A115" s="352">
        <v>40591</v>
      </c>
      <c r="B115" s="353">
        <f t="shared" si="5"/>
        <v>2</v>
      </c>
      <c r="C115" s="354"/>
      <c r="D115" s="354" t="s">
        <v>357</v>
      </c>
      <c r="E115" s="355"/>
      <c r="F115" s="355">
        <v>30000</v>
      </c>
      <c r="G115" s="358">
        <f t="shared" si="3"/>
        <v>842800</v>
      </c>
      <c r="H115" s="357" t="s">
        <v>276</v>
      </c>
      <c r="I115" s="351"/>
      <c r="J115" s="351"/>
      <c r="K115" s="351"/>
    </row>
    <row r="116" spans="1:11" ht="23.25" outlineLevel="1">
      <c r="A116" s="352">
        <v>40591</v>
      </c>
      <c r="B116" s="353">
        <f t="shared" si="5"/>
        <v>2</v>
      </c>
      <c r="C116" s="354"/>
      <c r="D116" s="354" t="s">
        <v>358</v>
      </c>
      <c r="E116" s="355"/>
      <c r="F116" s="355">
        <v>30000</v>
      </c>
      <c r="G116" s="358">
        <f t="shared" si="3"/>
        <v>812800</v>
      </c>
      <c r="H116" s="357" t="s">
        <v>276</v>
      </c>
      <c r="I116" s="351"/>
      <c r="J116" s="351"/>
      <c r="K116" s="351"/>
    </row>
    <row r="117" spans="1:11" ht="23.25" outlineLevel="1">
      <c r="A117" s="352">
        <v>40591</v>
      </c>
      <c r="B117" s="353">
        <f t="shared" si="5"/>
        <v>2</v>
      </c>
      <c r="C117" s="354"/>
      <c r="D117" s="354" t="s">
        <v>359</v>
      </c>
      <c r="E117" s="355"/>
      <c r="F117" s="355">
        <v>100000</v>
      </c>
      <c r="G117" s="358">
        <f t="shared" si="3"/>
        <v>712800</v>
      </c>
      <c r="H117" s="357" t="s">
        <v>275</v>
      </c>
      <c r="I117" s="384"/>
      <c r="J117" s="351"/>
      <c r="K117" s="351"/>
    </row>
    <row r="118" spans="1:11" ht="23.25" outlineLevel="1">
      <c r="A118" s="352">
        <v>40595</v>
      </c>
      <c r="B118" s="353">
        <f t="shared" si="5"/>
        <v>2</v>
      </c>
      <c r="C118" s="354"/>
      <c r="D118" s="354" t="s">
        <v>344</v>
      </c>
      <c r="E118" s="355"/>
      <c r="F118" s="355">
        <v>100000</v>
      </c>
      <c r="G118" s="358">
        <f t="shared" si="3"/>
        <v>612800</v>
      </c>
      <c r="H118" s="357" t="s">
        <v>281</v>
      </c>
      <c r="I118" s="351"/>
      <c r="J118" s="351"/>
      <c r="K118" s="351"/>
    </row>
    <row r="119" spans="1:11" ht="23.25" outlineLevel="1">
      <c r="A119" s="352">
        <v>40595</v>
      </c>
      <c r="B119" s="353">
        <f t="shared" si="5"/>
        <v>2</v>
      </c>
      <c r="C119" s="354"/>
      <c r="D119" s="354" t="s">
        <v>360</v>
      </c>
      <c r="E119" s="355"/>
      <c r="F119" s="355">
        <v>9000</v>
      </c>
      <c r="G119" s="358">
        <f t="shared" si="3"/>
        <v>603800</v>
      </c>
      <c r="H119" s="357" t="s">
        <v>280</v>
      </c>
      <c r="I119" s="351"/>
      <c r="J119" s="351"/>
      <c r="K119" s="351"/>
    </row>
    <row r="120" spans="1:11" ht="23.25" outlineLevel="1">
      <c r="A120" s="352">
        <v>40602</v>
      </c>
      <c r="B120" s="353">
        <f t="shared" si="5"/>
        <v>2</v>
      </c>
      <c r="C120" s="354"/>
      <c r="D120" s="354" t="s">
        <v>361</v>
      </c>
      <c r="E120" s="355"/>
      <c r="F120" s="355">
        <v>43500</v>
      </c>
      <c r="G120" s="358">
        <f t="shared" si="3"/>
        <v>560300</v>
      </c>
      <c r="H120" s="357" t="s">
        <v>281</v>
      </c>
      <c r="I120" s="351"/>
      <c r="J120" s="351"/>
      <c r="K120" s="351"/>
    </row>
    <row r="121" spans="1:11" ht="23.25" outlineLevel="1">
      <c r="A121" s="352">
        <v>40603</v>
      </c>
      <c r="B121" s="353">
        <f t="shared" si="5"/>
        <v>3</v>
      </c>
      <c r="C121" s="354"/>
      <c r="D121" s="354" t="s">
        <v>364</v>
      </c>
      <c r="E121" s="355"/>
      <c r="F121" s="355">
        <v>40000</v>
      </c>
      <c r="G121" s="358">
        <f t="shared" si="3"/>
        <v>520300</v>
      </c>
      <c r="H121" s="357" t="s">
        <v>284</v>
      </c>
      <c r="I121" s="351"/>
      <c r="J121" s="351"/>
      <c r="K121" s="351"/>
    </row>
    <row r="122" spans="1:11" ht="23.25" outlineLevel="1">
      <c r="A122" s="352">
        <v>40604</v>
      </c>
      <c r="B122" s="353">
        <f t="shared" si="5"/>
        <v>3</v>
      </c>
      <c r="C122" s="354"/>
      <c r="D122" s="354" t="s">
        <v>365</v>
      </c>
      <c r="E122" s="355">
        <v>4192800</v>
      </c>
      <c r="F122" s="355"/>
      <c r="G122" s="358">
        <f t="shared" si="3"/>
        <v>4713100</v>
      </c>
      <c r="H122" s="357" t="s">
        <v>265</v>
      </c>
      <c r="I122" s="351"/>
      <c r="J122" s="351"/>
      <c r="K122" s="351"/>
    </row>
    <row r="123" spans="1:11" ht="23.25" outlineLevel="1">
      <c r="A123" s="352">
        <v>40604</v>
      </c>
      <c r="B123" s="353">
        <f t="shared" si="5"/>
        <v>3</v>
      </c>
      <c r="C123" s="354"/>
      <c r="D123" s="354" t="s">
        <v>366</v>
      </c>
      <c r="E123" s="355"/>
      <c r="F123" s="355">
        <v>9000</v>
      </c>
      <c r="G123" s="358">
        <f t="shared" si="3"/>
        <v>4704100</v>
      </c>
      <c r="H123" s="357" t="s">
        <v>280</v>
      </c>
      <c r="I123" s="351"/>
      <c r="J123" s="351"/>
      <c r="K123" s="351"/>
    </row>
    <row r="124" spans="1:11" ht="23.25" outlineLevel="1">
      <c r="A124" s="352">
        <v>40604</v>
      </c>
      <c r="B124" s="353">
        <f t="shared" si="5"/>
        <v>3</v>
      </c>
      <c r="C124" s="354"/>
      <c r="D124" s="354" t="s">
        <v>367</v>
      </c>
      <c r="E124" s="355"/>
      <c r="F124" s="355">
        <v>9000</v>
      </c>
      <c r="G124" s="358">
        <f t="shared" si="3"/>
        <v>4695100</v>
      </c>
      <c r="H124" s="357" t="s">
        <v>280</v>
      </c>
      <c r="I124" s="351"/>
      <c r="J124" s="351"/>
      <c r="K124" s="351"/>
    </row>
    <row r="125" spans="1:11" ht="23.25" outlineLevel="1">
      <c r="A125" s="352">
        <v>40604</v>
      </c>
      <c r="B125" s="353">
        <f t="shared" si="5"/>
        <v>3</v>
      </c>
      <c r="C125" s="354"/>
      <c r="D125" s="354" t="s">
        <v>347</v>
      </c>
      <c r="E125" s="355"/>
      <c r="F125" s="355">
        <v>3000000</v>
      </c>
      <c r="G125" s="358">
        <f t="shared" si="3"/>
        <v>1695100</v>
      </c>
      <c r="H125" s="357" t="s">
        <v>315</v>
      </c>
      <c r="I125" s="351"/>
      <c r="J125" s="351"/>
      <c r="K125" s="351"/>
    </row>
    <row r="126" spans="1:11" ht="23.25" outlineLevel="1">
      <c r="A126" s="352">
        <v>40604</v>
      </c>
      <c r="B126" s="353">
        <f t="shared" si="5"/>
        <v>3</v>
      </c>
      <c r="C126" s="354"/>
      <c r="D126" s="354" t="s">
        <v>368</v>
      </c>
      <c r="E126" s="355"/>
      <c r="F126" s="355">
        <v>15000</v>
      </c>
      <c r="G126" s="358">
        <f t="shared" si="3"/>
        <v>1680100</v>
      </c>
      <c r="H126" s="357" t="s">
        <v>281</v>
      </c>
      <c r="I126" s="351"/>
      <c r="J126" s="351"/>
      <c r="K126" s="351"/>
    </row>
    <row r="127" spans="1:11" ht="23.25" outlineLevel="1">
      <c r="A127" s="352">
        <v>40604</v>
      </c>
      <c r="B127" s="353">
        <f t="shared" si="5"/>
        <v>3</v>
      </c>
      <c r="C127" s="354"/>
      <c r="D127" s="354" t="s">
        <v>369</v>
      </c>
      <c r="E127" s="355"/>
      <c r="F127" s="355">
        <v>56500</v>
      </c>
      <c r="G127" s="358">
        <f t="shared" si="3"/>
        <v>1623600</v>
      </c>
      <c r="H127" s="357" t="s">
        <v>281</v>
      </c>
      <c r="I127" s="351"/>
      <c r="J127" s="351"/>
      <c r="K127" s="351"/>
    </row>
    <row r="128" spans="1:11" ht="23.25" outlineLevel="1">
      <c r="A128" s="352">
        <v>40604</v>
      </c>
      <c r="B128" s="353">
        <f t="shared" si="5"/>
        <v>3</v>
      </c>
      <c r="C128" s="354"/>
      <c r="D128" s="354" t="s">
        <v>370</v>
      </c>
      <c r="E128" s="355"/>
      <c r="F128" s="355">
        <v>75000</v>
      </c>
      <c r="G128" s="358">
        <f t="shared" si="3"/>
        <v>1548600</v>
      </c>
      <c r="H128" s="357" t="s">
        <v>284</v>
      </c>
      <c r="I128" s="351"/>
      <c r="J128" s="351"/>
      <c r="K128" s="351"/>
    </row>
    <row r="129" spans="1:11" ht="23.25" outlineLevel="1">
      <c r="A129" s="352">
        <v>40605</v>
      </c>
      <c r="B129" s="353">
        <f t="shared" si="5"/>
        <v>3</v>
      </c>
      <c r="C129" s="354"/>
      <c r="D129" s="354" t="s">
        <v>371</v>
      </c>
      <c r="E129" s="355"/>
      <c r="F129" s="355">
        <v>30000</v>
      </c>
      <c r="G129" s="358">
        <f t="shared" si="3"/>
        <v>1518600</v>
      </c>
      <c r="H129" s="357" t="s">
        <v>278</v>
      </c>
      <c r="I129" s="351"/>
      <c r="J129" s="351"/>
      <c r="K129" s="351"/>
    </row>
    <row r="130" spans="1:11" ht="23.25" outlineLevel="1">
      <c r="A130" s="352">
        <v>40606</v>
      </c>
      <c r="B130" s="353">
        <f t="shared" si="5"/>
        <v>3</v>
      </c>
      <c r="C130" s="354"/>
      <c r="D130" s="354" t="s">
        <v>372</v>
      </c>
      <c r="E130" s="355"/>
      <c r="F130" s="355">
        <v>4300</v>
      </c>
      <c r="G130" s="358">
        <f t="shared" si="3"/>
        <v>1514300</v>
      </c>
      <c r="H130" s="357" t="s">
        <v>280</v>
      </c>
      <c r="I130" s="351"/>
      <c r="J130" s="351"/>
      <c r="K130" s="351"/>
    </row>
    <row r="131" spans="1:11" ht="23.25" outlineLevel="1">
      <c r="A131" s="352">
        <v>40608</v>
      </c>
      <c r="B131" s="353">
        <f t="shared" si="5"/>
        <v>3</v>
      </c>
      <c r="C131" s="354"/>
      <c r="D131" s="354" t="s">
        <v>367</v>
      </c>
      <c r="E131" s="355"/>
      <c r="F131" s="355">
        <v>4500</v>
      </c>
      <c r="G131" s="358">
        <f t="shared" si="3"/>
        <v>1509800</v>
      </c>
      <c r="H131" s="357" t="s">
        <v>280</v>
      </c>
      <c r="I131" s="351"/>
      <c r="J131" s="351"/>
      <c r="K131" s="351"/>
    </row>
    <row r="132" spans="1:11" ht="23.25" outlineLevel="1">
      <c r="A132" s="352">
        <v>40609</v>
      </c>
      <c r="B132" s="353">
        <f t="shared" si="5"/>
        <v>3</v>
      </c>
      <c r="C132" s="354"/>
      <c r="D132" s="354" t="s">
        <v>373</v>
      </c>
      <c r="E132" s="355"/>
      <c r="F132" s="355">
        <v>4500</v>
      </c>
      <c r="G132" s="358">
        <f t="shared" si="3"/>
        <v>1505300</v>
      </c>
      <c r="H132" s="357" t="s">
        <v>280</v>
      </c>
      <c r="I132" s="351"/>
      <c r="J132" s="351"/>
      <c r="K132" s="351"/>
    </row>
    <row r="133" spans="1:11" ht="23.25" outlineLevel="1">
      <c r="A133" s="352">
        <v>40612</v>
      </c>
      <c r="B133" s="353">
        <f t="shared" si="5"/>
        <v>3</v>
      </c>
      <c r="C133" s="354"/>
      <c r="D133" s="354" t="s">
        <v>374</v>
      </c>
      <c r="E133" s="355"/>
      <c r="F133" s="355">
        <v>4500</v>
      </c>
      <c r="G133" s="358">
        <f t="shared" si="3"/>
        <v>1500800</v>
      </c>
      <c r="H133" s="357" t="s">
        <v>280</v>
      </c>
      <c r="I133" s="351"/>
      <c r="J133" s="351"/>
      <c r="K133" s="351"/>
    </row>
    <row r="134" spans="1:11" ht="23.25" outlineLevel="1">
      <c r="A134" s="352">
        <v>40613</v>
      </c>
      <c r="B134" s="353">
        <f t="shared" si="5"/>
        <v>3</v>
      </c>
      <c r="C134" s="354"/>
      <c r="D134" s="354" t="s">
        <v>375</v>
      </c>
      <c r="E134" s="355">
        <v>3423000</v>
      </c>
      <c r="F134" s="355"/>
      <c r="G134" s="358">
        <f t="shared" si="3"/>
        <v>4923800</v>
      </c>
      <c r="H134" s="357" t="s">
        <v>265</v>
      </c>
      <c r="I134" s="351"/>
      <c r="J134" s="351"/>
      <c r="K134" s="351"/>
    </row>
    <row r="135" spans="1:11" ht="23.25" outlineLevel="1">
      <c r="A135" s="352">
        <v>40613</v>
      </c>
      <c r="B135" s="353">
        <f t="shared" si="5"/>
        <v>3</v>
      </c>
      <c r="C135" s="354"/>
      <c r="D135" s="354" t="s">
        <v>376</v>
      </c>
      <c r="E135" s="355">
        <v>317600</v>
      </c>
      <c r="F135" s="355"/>
      <c r="G135" s="358">
        <f t="shared" ref="G135:G139" si="6">IF(E135+F135&gt;0,G134+E135-F135,"")</f>
        <v>5241400</v>
      </c>
      <c r="H135" s="357" t="s">
        <v>265</v>
      </c>
      <c r="I135" s="351"/>
      <c r="J135" s="351"/>
      <c r="K135" s="351"/>
    </row>
    <row r="136" spans="1:11" ht="23.25" outlineLevel="1">
      <c r="A136" s="352">
        <v>40613</v>
      </c>
      <c r="B136" s="353">
        <f t="shared" si="5"/>
        <v>3</v>
      </c>
      <c r="C136" s="354"/>
      <c r="D136" s="354" t="s">
        <v>377</v>
      </c>
      <c r="E136" s="355"/>
      <c r="F136" s="355">
        <v>4500</v>
      </c>
      <c r="G136" s="358">
        <f t="shared" si="6"/>
        <v>5236900</v>
      </c>
      <c r="H136" s="357" t="s">
        <v>280</v>
      </c>
      <c r="I136" s="351"/>
      <c r="J136" s="351"/>
      <c r="K136" s="351"/>
    </row>
    <row r="137" spans="1:11" ht="23.25" outlineLevel="1">
      <c r="A137" s="352">
        <v>40613</v>
      </c>
      <c r="B137" s="353">
        <f t="shared" ref="B137:B139" si="7">IF(A137=0,"",MONTH(A137))</f>
        <v>3</v>
      </c>
      <c r="C137" s="354"/>
      <c r="D137" s="354" t="s">
        <v>378</v>
      </c>
      <c r="E137" s="355">
        <v>1789800</v>
      </c>
      <c r="F137" s="355"/>
      <c r="G137" s="358">
        <f t="shared" si="6"/>
        <v>7026700</v>
      </c>
      <c r="H137" s="357" t="s">
        <v>265</v>
      </c>
      <c r="I137" s="351"/>
      <c r="J137" s="351"/>
      <c r="K137" s="351"/>
    </row>
    <row r="138" spans="1:11" ht="23.25" outlineLevel="1">
      <c r="A138" s="352">
        <v>40615</v>
      </c>
      <c r="B138" s="353">
        <f t="shared" si="7"/>
        <v>3</v>
      </c>
      <c r="C138" s="354"/>
      <c r="D138" s="354" t="s">
        <v>379</v>
      </c>
      <c r="E138" s="355">
        <v>238000</v>
      </c>
      <c r="F138" s="355"/>
      <c r="G138" s="358">
        <f t="shared" si="6"/>
        <v>7264700</v>
      </c>
      <c r="H138" s="357" t="s">
        <v>265</v>
      </c>
      <c r="I138" s="351"/>
      <c r="J138" s="351"/>
      <c r="K138" s="351"/>
    </row>
    <row r="139" spans="1:11" ht="23.25" outlineLevel="1">
      <c r="A139" s="352">
        <v>40617</v>
      </c>
      <c r="B139" s="353">
        <f t="shared" si="7"/>
        <v>3</v>
      </c>
      <c r="C139" s="354"/>
      <c r="D139" s="354" t="s">
        <v>380</v>
      </c>
      <c r="E139" s="355"/>
      <c r="F139" s="355">
        <v>1000000</v>
      </c>
      <c r="G139" s="393">
        <f t="shared" si="6"/>
        <v>6264700</v>
      </c>
      <c r="H139" s="357" t="s">
        <v>282</v>
      </c>
      <c r="I139" s="394">
        <f>G139-6172500</f>
        <v>92200</v>
      </c>
      <c r="J139" s="351"/>
      <c r="K139" s="351"/>
    </row>
    <row r="140" spans="1:11" ht="23.25">
      <c r="A140" s="386" t="s">
        <v>138</v>
      </c>
      <c r="B140" s="387"/>
      <c r="C140" s="388"/>
      <c r="D140" s="389"/>
      <c r="E140" s="389">
        <f>SUM(E5:E139)</f>
        <v>30701400</v>
      </c>
      <c r="F140" s="389">
        <f>SUM(F5:F139)</f>
        <v>24436700</v>
      </c>
      <c r="G140" s="390">
        <f>E140-F140</f>
        <v>6264700</v>
      </c>
      <c r="H140" s="391" t="str">
        <f>IF((E140-F140)=G140,"TRUE","FALSE")</f>
        <v>TRUE</v>
      </c>
      <c r="I140" s="351"/>
      <c r="J140" s="384"/>
      <c r="K140" s="351"/>
    </row>
    <row r="141" spans="1:11">
      <c r="G141" s="47"/>
    </row>
    <row r="142" spans="1:11">
      <c r="G142" s="47"/>
    </row>
  </sheetData>
  <sheetProtection formatCells="0" formatColumns="0" formatRows="0" insertColumns="0" insertRows="0" deleteColumns="0" deleteRows="0" sort="0" autoFilter="0"/>
  <autoFilter ref="A4:H142"/>
  <pageMargins left="0.31" right="0.22" top="0.25" bottom="0.25" header="0.3" footer="0.3"/>
  <pageSetup paperSize="9" scale="75" orientation="portrait" verticalDpi="300" r:id="rId1"/>
  <headerFooter>
    <oddHeader>&amp;R&amp;P\&amp;N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opLeftCell="A4" zoomScale="120" zoomScaleNormal="120" workbookViewId="0">
      <pane xSplit="1" ySplit="1" topLeftCell="B17" activePane="bottomRight" state="frozen"/>
      <selection activeCell="A4" sqref="A4"/>
      <selection pane="topRight" activeCell="B4" sqref="B4"/>
      <selection pane="bottomLeft" activeCell="A5" sqref="A5"/>
      <selection pane="bottomRight" activeCell="D32" sqref="D32"/>
    </sheetView>
  </sheetViews>
  <sheetFormatPr defaultRowHeight="15" outlineLevelRow="1" outlineLevelCol="1"/>
  <cols>
    <col min="1" max="1" width="13" customWidth="1"/>
    <col min="2" max="2" width="11.42578125" customWidth="1" outlineLevel="1"/>
    <col min="3" max="3" width="16.85546875" customWidth="1"/>
    <col min="4" max="4" width="45.42578125" style="5" customWidth="1"/>
    <col min="5" max="5" width="14" style="5" customWidth="1"/>
    <col min="6" max="6" width="13.85546875" customWidth="1"/>
    <col min="7" max="7" width="11.7109375" customWidth="1"/>
    <col min="9" max="9" width="12.85546875" customWidth="1"/>
  </cols>
  <sheetData>
    <row r="1" spans="1:10" ht="24.75" customHeight="1">
      <c r="A1" s="408" t="s">
        <v>62</v>
      </c>
      <c r="B1" s="408"/>
      <c r="C1" s="408"/>
      <c r="D1" s="408"/>
      <c r="E1" s="408"/>
      <c r="F1" s="408"/>
      <c r="G1" s="408"/>
      <c r="H1" s="408"/>
      <c r="I1" s="48"/>
      <c r="J1" s="48"/>
    </row>
    <row r="2" spans="1:10" ht="20.25" customHeight="1">
      <c r="A2" s="409" t="s">
        <v>56</v>
      </c>
      <c r="B2" s="409"/>
      <c r="C2" s="409"/>
      <c r="D2" s="409"/>
      <c r="E2" s="409"/>
      <c r="F2" s="409"/>
      <c r="G2" s="409"/>
      <c r="H2" s="409"/>
      <c r="I2" s="49"/>
      <c r="J2" s="49"/>
    </row>
    <row r="3" spans="1:10">
      <c r="A3" s="37"/>
      <c r="B3" s="38"/>
      <c r="C3" s="38"/>
      <c r="D3" s="38"/>
      <c r="E3" s="38"/>
      <c r="F3" s="39"/>
      <c r="G3" s="38"/>
      <c r="H3" s="38"/>
      <c r="I3" s="38"/>
      <c r="J3" s="38"/>
    </row>
    <row r="4" spans="1:10" ht="21" customHeight="1">
      <c r="A4" s="11" t="s">
        <v>48</v>
      </c>
      <c r="B4" s="40" t="s">
        <v>59</v>
      </c>
      <c r="C4" s="11" t="s">
        <v>49</v>
      </c>
      <c r="D4" s="11" t="s">
        <v>50</v>
      </c>
      <c r="E4" s="15" t="s">
        <v>57</v>
      </c>
      <c r="F4" s="11" t="s">
        <v>58</v>
      </c>
      <c r="G4" s="11" t="s">
        <v>53</v>
      </c>
      <c r="H4" s="11" t="s">
        <v>54</v>
      </c>
    </row>
    <row r="5" spans="1:10" ht="20.25" outlineLevel="1">
      <c r="A5" s="12">
        <v>40391</v>
      </c>
      <c r="B5" s="79">
        <v>10</v>
      </c>
      <c r="C5" s="10"/>
      <c r="D5" s="74" t="s">
        <v>180</v>
      </c>
      <c r="E5" s="19">
        <v>20200</v>
      </c>
      <c r="F5" s="19"/>
      <c r="G5" s="42">
        <f>E5-F5</f>
        <v>20200</v>
      </c>
      <c r="H5" s="14"/>
    </row>
    <row r="6" spans="1:10" ht="20.25" outlineLevel="1">
      <c r="A6" s="12">
        <v>40393</v>
      </c>
      <c r="B6" s="79">
        <v>10</v>
      </c>
      <c r="C6" s="10"/>
      <c r="D6" s="74" t="s">
        <v>181</v>
      </c>
      <c r="E6" s="19">
        <v>26863200</v>
      </c>
      <c r="F6" s="19"/>
      <c r="G6" s="42">
        <f t="shared" ref="G6:G29" si="0">IF(E6+F6&gt;0,G5+E6-F6,"")</f>
        <v>26883400</v>
      </c>
      <c r="H6" s="14" t="s">
        <v>268</v>
      </c>
    </row>
    <row r="7" spans="1:10" ht="20.25" outlineLevel="1">
      <c r="A7" s="12">
        <v>40393</v>
      </c>
      <c r="B7" s="79">
        <v>10</v>
      </c>
      <c r="C7" s="10"/>
      <c r="D7" s="74" t="s">
        <v>182</v>
      </c>
      <c r="E7" s="19"/>
      <c r="F7" s="19">
        <v>40300</v>
      </c>
      <c r="G7" s="42">
        <f t="shared" si="0"/>
        <v>26843100</v>
      </c>
      <c r="H7" s="14" t="s">
        <v>281</v>
      </c>
    </row>
    <row r="8" spans="1:10" ht="20.25" outlineLevel="1">
      <c r="A8" s="12">
        <v>40399</v>
      </c>
      <c r="B8" s="79">
        <v>10</v>
      </c>
      <c r="C8" s="10"/>
      <c r="D8" s="75" t="s">
        <v>183</v>
      </c>
      <c r="E8" s="68"/>
      <c r="F8" s="68">
        <v>3000000</v>
      </c>
      <c r="G8" s="42">
        <f t="shared" si="0"/>
        <v>23843100</v>
      </c>
      <c r="H8" s="14" t="s">
        <v>315</v>
      </c>
      <c r="I8" s="69"/>
    </row>
    <row r="9" spans="1:10" ht="20.25" outlineLevel="1">
      <c r="A9" s="12">
        <v>40399</v>
      </c>
      <c r="B9" s="79">
        <v>10</v>
      </c>
      <c r="C9" s="10"/>
      <c r="D9" s="74" t="s">
        <v>184</v>
      </c>
      <c r="E9" s="28"/>
      <c r="F9" s="28">
        <v>23800000</v>
      </c>
      <c r="G9" s="42">
        <f t="shared" si="0"/>
        <v>43100</v>
      </c>
      <c r="H9" s="14" t="s">
        <v>315</v>
      </c>
    </row>
    <row r="10" spans="1:10" ht="20.25" outlineLevel="1">
      <c r="A10" s="12">
        <v>40421</v>
      </c>
      <c r="B10" s="79">
        <v>10</v>
      </c>
      <c r="C10" s="10"/>
      <c r="D10" s="74" t="s">
        <v>185</v>
      </c>
      <c r="E10" s="28">
        <v>5600</v>
      </c>
      <c r="F10" s="28"/>
      <c r="G10" s="42">
        <f t="shared" si="0"/>
        <v>48700</v>
      </c>
      <c r="H10" s="14" t="s">
        <v>269</v>
      </c>
    </row>
    <row r="11" spans="1:10" ht="20.25" outlineLevel="1">
      <c r="A11" s="12">
        <v>40421</v>
      </c>
      <c r="B11" s="79">
        <v>10</v>
      </c>
      <c r="C11" s="10"/>
      <c r="D11" s="78" t="s">
        <v>189</v>
      </c>
      <c r="E11" s="28"/>
      <c r="F11" s="28">
        <v>200</v>
      </c>
      <c r="G11" s="42">
        <f t="shared" si="0"/>
        <v>48500</v>
      </c>
      <c r="H11" s="14" t="s">
        <v>281</v>
      </c>
      <c r="J11" s="46">
        <f>SUM(F19,F22,F25)</f>
        <v>2200</v>
      </c>
    </row>
    <row r="12" spans="1:10" ht="20.25" outlineLevel="1">
      <c r="A12" s="12">
        <v>40479</v>
      </c>
      <c r="B12" s="41">
        <f t="shared" ref="B12:B29" si="1">IF(A12=0,"",MONTH(A12))</f>
        <v>10</v>
      </c>
      <c r="C12" s="10"/>
      <c r="D12" s="74" t="s">
        <v>185</v>
      </c>
      <c r="E12" s="28">
        <v>100</v>
      </c>
      <c r="F12" s="28"/>
      <c r="G12" s="42">
        <f t="shared" si="0"/>
        <v>48600</v>
      </c>
      <c r="H12" s="14" t="s">
        <v>269</v>
      </c>
    </row>
    <row r="13" spans="1:10" ht="20.25" outlineLevel="1">
      <c r="A13" s="12">
        <v>40492</v>
      </c>
      <c r="B13" s="41">
        <f t="shared" si="1"/>
        <v>11</v>
      </c>
      <c r="C13" s="10"/>
      <c r="D13" s="74" t="s">
        <v>186</v>
      </c>
      <c r="E13" s="28">
        <v>23800000</v>
      </c>
      <c r="F13" s="28"/>
      <c r="G13" s="42">
        <f t="shared" si="0"/>
        <v>23848600</v>
      </c>
      <c r="H13" s="14" t="s">
        <v>315</v>
      </c>
    </row>
    <row r="14" spans="1:10" ht="20.25" outlineLevel="1">
      <c r="A14" s="12">
        <v>40492</v>
      </c>
      <c r="B14" s="41">
        <f t="shared" si="1"/>
        <v>11</v>
      </c>
      <c r="C14" s="10"/>
      <c r="D14" s="74" t="s">
        <v>185</v>
      </c>
      <c r="E14" s="28">
        <v>285000</v>
      </c>
      <c r="F14" s="28"/>
      <c r="G14" s="42">
        <f t="shared" si="0"/>
        <v>24133600</v>
      </c>
      <c r="H14" s="14" t="s">
        <v>269</v>
      </c>
    </row>
    <row r="15" spans="1:10" ht="20.25" outlineLevel="1">
      <c r="A15" s="12">
        <v>40493</v>
      </c>
      <c r="B15" s="41">
        <f t="shared" si="1"/>
        <v>11</v>
      </c>
      <c r="C15" s="10"/>
      <c r="D15" s="74" t="s">
        <v>185</v>
      </c>
      <c r="E15" s="28">
        <v>800</v>
      </c>
      <c r="F15" s="28"/>
      <c r="G15" s="42">
        <f t="shared" si="0"/>
        <v>24134400</v>
      </c>
      <c r="H15" s="14" t="s">
        <v>269</v>
      </c>
    </row>
    <row r="16" spans="1:10" ht="20.25" outlineLevel="1">
      <c r="A16" s="55">
        <v>40493</v>
      </c>
      <c r="B16" s="56">
        <f t="shared" si="1"/>
        <v>11</v>
      </c>
      <c r="C16" s="57"/>
      <c r="D16" s="76" t="s">
        <v>187</v>
      </c>
      <c r="E16" s="59"/>
      <c r="F16" s="59">
        <v>24134400</v>
      </c>
      <c r="G16" s="60">
        <f t="shared" si="0"/>
        <v>0</v>
      </c>
      <c r="H16" s="58" t="s">
        <v>315</v>
      </c>
    </row>
    <row r="17" spans="1:10" ht="20.25" outlineLevel="1">
      <c r="A17" s="61">
        <v>40493</v>
      </c>
      <c r="B17" s="62"/>
      <c r="C17" s="63"/>
      <c r="D17" s="77" t="s">
        <v>188</v>
      </c>
      <c r="E17" s="64">
        <v>23000000</v>
      </c>
      <c r="F17" s="64"/>
      <c r="G17" s="65">
        <f t="shared" si="0"/>
        <v>23000000</v>
      </c>
      <c r="H17" s="67" t="s">
        <v>315</v>
      </c>
      <c r="I17" s="66"/>
      <c r="J17" s="69"/>
    </row>
    <row r="18" spans="1:10" ht="20.25" outlineLevel="1">
      <c r="A18" s="13">
        <v>40512</v>
      </c>
      <c r="B18" s="41">
        <f t="shared" si="1"/>
        <v>11</v>
      </c>
      <c r="C18" s="10"/>
      <c r="D18" s="78" t="s">
        <v>185</v>
      </c>
      <c r="E18" s="28">
        <v>15800</v>
      </c>
      <c r="F18" s="28"/>
      <c r="G18" s="42">
        <f t="shared" si="0"/>
        <v>23015800</v>
      </c>
      <c r="H18" s="14" t="s">
        <v>269</v>
      </c>
    </row>
    <row r="19" spans="1:10" ht="20.25" outlineLevel="1">
      <c r="A19" s="13">
        <v>40512</v>
      </c>
      <c r="B19" s="41">
        <f t="shared" si="1"/>
        <v>11</v>
      </c>
      <c r="C19" s="10"/>
      <c r="D19" s="78" t="s">
        <v>189</v>
      </c>
      <c r="E19" s="28"/>
      <c r="F19" s="28">
        <v>600</v>
      </c>
      <c r="G19" s="42">
        <f t="shared" si="0"/>
        <v>23015200</v>
      </c>
      <c r="H19" s="14" t="s">
        <v>281</v>
      </c>
    </row>
    <row r="20" spans="1:10" ht="20.25" outlineLevel="1">
      <c r="A20" s="13">
        <v>40536</v>
      </c>
      <c r="B20" s="41">
        <f t="shared" si="1"/>
        <v>12</v>
      </c>
      <c r="C20" s="10"/>
      <c r="D20" s="74" t="s">
        <v>191</v>
      </c>
      <c r="E20" s="19"/>
      <c r="F20" s="19">
        <v>3000000</v>
      </c>
      <c r="G20" s="42">
        <f t="shared" si="0"/>
        <v>20015200</v>
      </c>
      <c r="H20" s="14" t="s">
        <v>315</v>
      </c>
    </row>
    <row r="21" spans="1:10" ht="20.25" outlineLevel="1">
      <c r="A21" s="13">
        <v>40543</v>
      </c>
      <c r="B21" s="41">
        <f t="shared" si="1"/>
        <v>12</v>
      </c>
      <c r="C21" s="10"/>
      <c r="D21" s="74" t="s">
        <v>185</v>
      </c>
      <c r="E21" s="28">
        <v>23600</v>
      </c>
      <c r="F21" s="28"/>
      <c r="G21" s="42">
        <f t="shared" si="0"/>
        <v>20038800</v>
      </c>
      <c r="H21" s="14" t="s">
        <v>269</v>
      </c>
    </row>
    <row r="22" spans="1:10" ht="20.25" outlineLevel="1">
      <c r="A22" s="13">
        <v>40543</v>
      </c>
      <c r="B22" s="41">
        <f t="shared" si="1"/>
        <v>12</v>
      </c>
      <c r="C22" s="10"/>
      <c r="D22" s="74" t="s">
        <v>189</v>
      </c>
      <c r="E22" s="28"/>
      <c r="F22" s="28">
        <v>900</v>
      </c>
      <c r="G22" s="42">
        <f t="shared" si="0"/>
        <v>20037900</v>
      </c>
      <c r="H22" s="14" t="s">
        <v>281</v>
      </c>
    </row>
    <row r="23" spans="1:10" ht="20.25" outlineLevel="1">
      <c r="A23" s="54">
        <v>40555</v>
      </c>
      <c r="B23" s="41">
        <f t="shared" si="1"/>
        <v>1</v>
      </c>
      <c r="C23" s="10"/>
      <c r="D23" s="74" t="s">
        <v>190</v>
      </c>
      <c r="E23" s="19"/>
      <c r="F23" s="19">
        <v>7000000</v>
      </c>
      <c r="G23" s="42">
        <f t="shared" si="0"/>
        <v>13037900</v>
      </c>
      <c r="H23" s="14" t="s">
        <v>315</v>
      </c>
    </row>
    <row r="24" spans="1:10" ht="20.25" outlineLevel="1">
      <c r="A24" s="13">
        <v>40574</v>
      </c>
      <c r="B24" s="41">
        <f t="shared" si="1"/>
        <v>1</v>
      </c>
      <c r="C24" s="10"/>
      <c r="D24" s="74" t="s">
        <v>185</v>
      </c>
      <c r="E24" s="19">
        <v>16500</v>
      </c>
      <c r="F24" s="19"/>
      <c r="G24" s="42">
        <f t="shared" si="0"/>
        <v>13054400</v>
      </c>
      <c r="H24" s="14" t="s">
        <v>269</v>
      </c>
    </row>
    <row r="25" spans="1:10" ht="20.25" outlineLevel="1">
      <c r="A25" s="54">
        <v>40574</v>
      </c>
      <c r="B25" s="41">
        <f t="shared" si="1"/>
        <v>1</v>
      </c>
      <c r="C25" s="10"/>
      <c r="D25" s="74" t="s">
        <v>362</v>
      </c>
      <c r="E25" s="19"/>
      <c r="F25" s="19">
        <v>700</v>
      </c>
      <c r="G25" s="42">
        <f t="shared" si="0"/>
        <v>13053700</v>
      </c>
      <c r="H25" s="14" t="s">
        <v>281</v>
      </c>
    </row>
    <row r="26" spans="1:10" outlineLevel="1">
      <c r="A26" s="13">
        <v>40584</v>
      </c>
      <c r="B26" s="41">
        <f t="shared" si="1"/>
        <v>2</v>
      </c>
      <c r="C26" s="10"/>
      <c r="D26" s="14" t="s">
        <v>363</v>
      </c>
      <c r="E26" s="19">
        <v>5000000</v>
      </c>
      <c r="F26" s="19"/>
      <c r="G26" s="42">
        <f t="shared" si="0"/>
        <v>18053700</v>
      </c>
      <c r="H26" s="14" t="s">
        <v>315</v>
      </c>
    </row>
    <row r="27" spans="1:10" outlineLevel="1">
      <c r="A27" s="13">
        <v>40603</v>
      </c>
      <c r="B27" s="41">
        <f t="shared" si="1"/>
        <v>3</v>
      </c>
      <c r="C27" s="10"/>
      <c r="D27" s="14" t="s">
        <v>79</v>
      </c>
      <c r="E27" s="19">
        <v>15800</v>
      </c>
      <c r="F27" s="19"/>
      <c r="G27" s="42">
        <f t="shared" si="0"/>
        <v>18069500</v>
      </c>
      <c r="H27" s="14" t="s">
        <v>269</v>
      </c>
    </row>
    <row r="28" spans="1:10" outlineLevel="1">
      <c r="A28" s="392">
        <v>40603</v>
      </c>
      <c r="B28" s="41">
        <f t="shared" si="1"/>
        <v>3</v>
      </c>
      <c r="C28" s="10"/>
      <c r="D28" s="14" t="s">
        <v>362</v>
      </c>
      <c r="E28" s="19"/>
      <c r="F28" s="19">
        <v>600</v>
      </c>
      <c r="G28" s="42">
        <f t="shared" si="0"/>
        <v>18068900</v>
      </c>
      <c r="H28" s="14" t="s">
        <v>281</v>
      </c>
    </row>
    <row r="29" spans="1:10" outlineLevel="1">
      <c r="A29" s="392">
        <v>40604</v>
      </c>
      <c r="B29" s="41">
        <f t="shared" si="1"/>
        <v>3</v>
      </c>
      <c r="C29" s="10"/>
      <c r="D29" s="14" t="s">
        <v>363</v>
      </c>
      <c r="E29" s="19">
        <v>3000000</v>
      </c>
      <c r="F29" s="19"/>
      <c r="G29" s="42">
        <f t="shared" si="0"/>
        <v>21068900</v>
      </c>
      <c r="H29" s="14" t="s">
        <v>315</v>
      </c>
    </row>
    <row r="30" spans="1:10" outlineLevel="1">
      <c r="A30" s="13"/>
      <c r="B30" s="41" t="str">
        <f>IF(A30=0,"",MONTH(A30))</f>
        <v/>
      </c>
      <c r="C30" s="10"/>
      <c r="D30" s="10"/>
      <c r="E30" s="19"/>
      <c r="F30" s="19"/>
      <c r="G30" s="42" t="str">
        <f>IF(E30+F30&gt;0,#REF!+E30-F30,"")</f>
        <v/>
      </c>
      <c r="H30" s="14"/>
    </row>
    <row r="31" spans="1:10" ht="27.75">
      <c r="A31" s="410" t="s">
        <v>138</v>
      </c>
      <c r="B31" s="411"/>
      <c r="C31" s="412"/>
      <c r="D31" s="45">
        <f>SUM(E5:E30)</f>
        <v>82046600</v>
      </c>
      <c r="E31" s="45">
        <f>SUM(F5:F30)</f>
        <v>60977700</v>
      </c>
      <c r="F31" s="34">
        <f>D31-E31</f>
        <v>21068900</v>
      </c>
      <c r="G31" s="35" t="s">
        <v>0</v>
      </c>
      <c r="H31" s="36" t="str">
        <f>IF((D31-E31)=F31,"TRUE","FALSE")</f>
        <v>TRUE</v>
      </c>
    </row>
  </sheetData>
  <sheetProtection selectLockedCells="1"/>
  <autoFilter ref="A4:H31"/>
  <mergeCells count="3">
    <mergeCell ref="A1:H1"/>
    <mergeCell ref="A2:H2"/>
    <mergeCell ref="A31:C31"/>
  </mergeCells>
  <pageMargins left="0.45" right="0.45" top="0.25" bottom="0.25" header="0.3" footer="0.3"/>
  <pageSetup paperSize="9" scale="75" orientation="portrait" horizontalDpi="1200" verticalDpi="1200" r:id="rId1"/>
  <headerFooter>
    <oddHeader>&amp;R&amp;P\&amp;N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00"/>
  <sheetViews>
    <sheetView zoomScale="120" zoomScaleNormal="120" workbookViewId="0">
      <pane ySplit="4" topLeftCell="A5" activePane="bottomLeft" state="frozen"/>
      <selection activeCell="C1" sqref="C1"/>
      <selection pane="bottomLeft" activeCell="A5" sqref="A5:XFD6"/>
    </sheetView>
  </sheetViews>
  <sheetFormatPr defaultRowHeight="15" outlineLevelRow="1" outlineLevelCol="1"/>
  <cols>
    <col min="1" max="1" width="7.7109375" style="37" customWidth="1"/>
    <col min="2" max="2" width="12.42578125" style="38" customWidth="1"/>
    <col min="3" max="3" width="7.5703125" style="38" customWidth="1" outlineLevel="1"/>
    <col min="4" max="4" width="11" style="38" customWidth="1"/>
    <col min="5" max="5" width="35.28515625" style="38" customWidth="1"/>
    <col min="6" max="6" width="11.140625" style="39" customWidth="1"/>
    <col min="7" max="7" width="11.5703125" style="38" customWidth="1"/>
    <col min="8" max="8" width="11.140625" style="38" customWidth="1"/>
    <col min="9" max="9" width="9.7109375" style="38" customWidth="1"/>
    <col min="10" max="10" width="18.28515625" style="38" customWidth="1"/>
  </cols>
  <sheetData>
    <row r="1" spans="1:10" ht="22.5" customHeight="1">
      <c r="A1" s="408" t="s">
        <v>55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ht="21.75" customHeight="1">
      <c r="A2" s="409" t="s">
        <v>56</v>
      </c>
      <c r="B2" s="409"/>
      <c r="C2" s="409"/>
      <c r="D2" s="409"/>
      <c r="E2" s="409"/>
      <c r="F2" s="409"/>
      <c r="G2" s="409"/>
      <c r="H2" s="409"/>
      <c r="I2" s="409"/>
      <c r="J2" s="409"/>
    </row>
    <row r="3" spans="1:10" ht="9.75" customHeight="1"/>
    <row r="4" spans="1:10" ht="18.75" customHeight="1">
      <c r="A4" s="26" t="s">
        <v>60</v>
      </c>
      <c r="B4" s="11" t="s">
        <v>48</v>
      </c>
      <c r="C4" s="40" t="s">
        <v>59</v>
      </c>
      <c r="D4" s="11" t="s">
        <v>49</v>
      </c>
      <c r="E4" s="11" t="s">
        <v>50</v>
      </c>
      <c r="F4" s="15" t="s">
        <v>57</v>
      </c>
      <c r="G4" s="11" t="s">
        <v>58</v>
      </c>
      <c r="H4" s="11" t="s">
        <v>53</v>
      </c>
      <c r="I4" s="11" t="s">
        <v>54</v>
      </c>
      <c r="J4" s="11" t="s">
        <v>61</v>
      </c>
    </row>
    <row r="5" spans="1:10" outlineLevel="1">
      <c r="A5" s="27"/>
      <c r="B5" s="12"/>
      <c r="C5" s="41" t="str">
        <f t="shared" ref="C5:C8" si="0">IF(B5=0,"",MONTH(B5))</f>
        <v/>
      </c>
      <c r="D5" s="10"/>
      <c r="E5" s="401"/>
      <c r="F5" s="31"/>
      <c r="G5" s="29"/>
      <c r="H5" s="42" t="str">
        <f>IF(F5+G5&gt;0,#REF!+F5-G5,"")</f>
        <v/>
      </c>
      <c r="I5" s="14"/>
      <c r="J5" s="14"/>
    </row>
    <row r="6" spans="1:10" outlineLevel="1">
      <c r="A6" s="27"/>
      <c r="B6" s="13"/>
      <c r="C6" s="41" t="str">
        <f t="shared" si="0"/>
        <v/>
      </c>
      <c r="D6" s="10"/>
      <c r="E6" s="30"/>
      <c r="F6" s="31"/>
      <c r="G6" s="14"/>
      <c r="H6" s="42" t="str">
        <f t="shared" ref="H6:H67" si="1">IF(F6+G6&gt;0,H5+F6-G6,"")</f>
        <v/>
      </c>
      <c r="I6" s="14"/>
      <c r="J6" s="14"/>
    </row>
    <row r="7" spans="1:10" outlineLevel="1">
      <c r="A7" s="27"/>
      <c r="B7" s="13"/>
      <c r="C7" s="41" t="str">
        <f t="shared" si="0"/>
        <v/>
      </c>
      <c r="D7" s="10"/>
      <c r="E7" s="14"/>
      <c r="F7" s="28"/>
      <c r="G7" s="29"/>
      <c r="H7" s="42" t="str">
        <f t="shared" si="1"/>
        <v/>
      </c>
      <c r="I7" s="14"/>
      <c r="J7" s="14"/>
    </row>
    <row r="8" spans="1:10" outlineLevel="1">
      <c r="A8" s="27"/>
      <c r="B8" s="13"/>
      <c r="C8" s="41" t="str">
        <f t="shared" si="0"/>
        <v/>
      </c>
      <c r="D8" s="10"/>
      <c r="E8" s="10"/>
      <c r="F8" s="28"/>
      <c r="G8" s="29"/>
      <c r="H8" s="42" t="str">
        <f t="shared" si="1"/>
        <v/>
      </c>
      <c r="I8" s="14"/>
      <c r="J8" s="14"/>
    </row>
    <row r="9" spans="1:10" outlineLevel="1">
      <c r="A9" s="27"/>
      <c r="B9" s="13"/>
      <c r="C9" s="41" t="str">
        <f t="shared" ref="C9:C67" si="2">IF(B9=0,"",MONTH(B9))</f>
        <v/>
      </c>
      <c r="D9" s="10"/>
      <c r="E9" s="10"/>
      <c r="F9" s="28"/>
      <c r="G9" s="29"/>
      <c r="H9" s="42" t="str">
        <f t="shared" si="1"/>
        <v/>
      </c>
      <c r="I9" s="14"/>
      <c r="J9" s="14"/>
    </row>
    <row r="10" spans="1:10" outlineLevel="1">
      <c r="A10" s="27"/>
      <c r="B10" s="13"/>
      <c r="C10" s="41" t="str">
        <f t="shared" si="2"/>
        <v/>
      </c>
      <c r="D10" s="10"/>
      <c r="E10" s="10"/>
      <c r="F10" s="28"/>
      <c r="G10" s="29"/>
      <c r="H10" s="42" t="str">
        <f t="shared" si="1"/>
        <v/>
      </c>
      <c r="I10" s="14"/>
      <c r="J10" s="14"/>
    </row>
    <row r="11" spans="1:10" outlineLevel="1">
      <c r="A11" s="27"/>
      <c r="B11" s="13"/>
      <c r="C11" s="41" t="str">
        <f t="shared" si="2"/>
        <v/>
      </c>
      <c r="D11" s="10"/>
      <c r="E11" s="10"/>
      <c r="F11" s="28"/>
      <c r="G11" s="29"/>
      <c r="H11" s="42" t="str">
        <f t="shared" si="1"/>
        <v/>
      </c>
      <c r="I11" s="14"/>
      <c r="J11" s="14"/>
    </row>
    <row r="12" spans="1:10" outlineLevel="1">
      <c r="A12" s="27"/>
      <c r="B12" s="13"/>
      <c r="C12" s="41" t="str">
        <f t="shared" si="2"/>
        <v/>
      </c>
      <c r="D12" s="10"/>
      <c r="E12" s="10"/>
      <c r="F12" s="28"/>
      <c r="G12" s="29"/>
      <c r="H12" s="42" t="str">
        <f t="shared" si="1"/>
        <v/>
      </c>
      <c r="I12" s="14"/>
      <c r="J12" s="14"/>
    </row>
    <row r="13" spans="1:10" outlineLevel="1">
      <c r="A13" s="27"/>
      <c r="B13" s="10"/>
      <c r="C13" s="41" t="str">
        <f t="shared" si="2"/>
        <v/>
      </c>
      <c r="D13" s="10"/>
      <c r="E13" s="10"/>
      <c r="F13" s="28"/>
      <c r="G13" s="29"/>
      <c r="H13" s="42" t="str">
        <f t="shared" si="1"/>
        <v/>
      </c>
      <c r="I13" s="14"/>
      <c r="J13" s="14"/>
    </row>
    <row r="14" spans="1:10" outlineLevel="1">
      <c r="A14" s="27"/>
      <c r="B14" s="10"/>
      <c r="C14" s="41" t="str">
        <f t="shared" si="2"/>
        <v/>
      </c>
      <c r="D14" s="10"/>
      <c r="E14" s="10"/>
      <c r="F14" s="28"/>
      <c r="G14" s="29"/>
      <c r="H14" s="42" t="str">
        <f t="shared" si="1"/>
        <v/>
      </c>
      <c r="I14" s="14"/>
      <c r="J14" s="14"/>
    </row>
    <row r="15" spans="1:10" outlineLevel="1">
      <c r="A15" s="27"/>
      <c r="B15" s="10"/>
      <c r="C15" s="41" t="str">
        <f t="shared" si="2"/>
        <v/>
      </c>
      <c r="D15" s="10"/>
      <c r="E15" s="10"/>
      <c r="F15" s="28"/>
      <c r="G15" s="29"/>
      <c r="H15" s="42" t="str">
        <f t="shared" si="1"/>
        <v/>
      </c>
      <c r="I15" s="14"/>
      <c r="J15" s="14"/>
    </row>
    <row r="16" spans="1:10" outlineLevel="1">
      <c r="A16" s="27"/>
      <c r="B16" s="10"/>
      <c r="C16" s="41" t="str">
        <f t="shared" si="2"/>
        <v/>
      </c>
      <c r="D16" s="10"/>
      <c r="E16" s="10"/>
      <c r="F16" s="28"/>
      <c r="G16" s="29"/>
      <c r="H16" s="42" t="str">
        <f t="shared" si="1"/>
        <v/>
      </c>
      <c r="I16" s="14"/>
      <c r="J16" s="14"/>
    </row>
    <row r="17" spans="1:10" outlineLevel="1">
      <c r="A17" s="27"/>
      <c r="B17" s="10"/>
      <c r="C17" s="41" t="str">
        <f t="shared" si="2"/>
        <v/>
      </c>
      <c r="D17" s="10"/>
      <c r="E17" s="10"/>
      <c r="F17" s="28"/>
      <c r="G17" s="29"/>
      <c r="H17" s="42" t="str">
        <f t="shared" si="1"/>
        <v/>
      </c>
      <c r="I17" s="14"/>
      <c r="J17" s="14"/>
    </row>
    <row r="18" spans="1:10" outlineLevel="1">
      <c r="A18" s="27"/>
      <c r="B18" s="10"/>
      <c r="C18" s="41" t="str">
        <f t="shared" si="2"/>
        <v/>
      </c>
      <c r="D18" s="10"/>
      <c r="E18" s="10"/>
      <c r="F18" s="28"/>
      <c r="G18" s="29"/>
      <c r="H18" s="42" t="str">
        <f t="shared" si="1"/>
        <v/>
      </c>
      <c r="I18" s="14"/>
      <c r="J18" s="14"/>
    </row>
    <row r="19" spans="1:10" outlineLevel="1">
      <c r="A19" s="27"/>
      <c r="B19" s="10"/>
      <c r="C19" s="41" t="str">
        <f t="shared" si="2"/>
        <v/>
      </c>
      <c r="D19" s="10"/>
      <c r="E19" s="10"/>
      <c r="F19" s="28"/>
      <c r="G19" s="29"/>
      <c r="H19" s="42" t="str">
        <f t="shared" si="1"/>
        <v/>
      </c>
      <c r="I19" s="14"/>
      <c r="J19" s="14"/>
    </row>
    <row r="20" spans="1:10" outlineLevel="1">
      <c r="A20" s="27"/>
      <c r="B20" s="10"/>
      <c r="C20" s="41" t="str">
        <f t="shared" si="2"/>
        <v/>
      </c>
      <c r="D20" s="10"/>
      <c r="E20" s="10"/>
      <c r="F20" s="28"/>
      <c r="G20" s="29"/>
      <c r="H20" s="42" t="str">
        <f t="shared" si="1"/>
        <v/>
      </c>
      <c r="I20" s="14"/>
      <c r="J20" s="14"/>
    </row>
    <row r="21" spans="1:10" outlineLevel="1">
      <c r="A21" s="27"/>
      <c r="B21" s="10"/>
      <c r="C21" s="41" t="str">
        <f t="shared" si="2"/>
        <v/>
      </c>
      <c r="D21" s="10"/>
      <c r="E21" s="10"/>
      <c r="F21" s="28"/>
      <c r="G21" s="29"/>
      <c r="H21" s="42" t="str">
        <f t="shared" si="1"/>
        <v/>
      </c>
      <c r="I21" s="14"/>
      <c r="J21" s="14"/>
    </row>
    <row r="22" spans="1:10" outlineLevel="1">
      <c r="A22" s="27"/>
      <c r="B22" s="10"/>
      <c r="C22" s="41" t="str">
        <f t="shared" si="2"/>
        <v/>
      </c>
      <c r="D22" s="10"/>
      <c r="E22" s="10"/>
      <c r="F22" s="28"/>
      <c r="G22" s="29"/>
      <c r="H22" s="42" t="str">
        <f t="shared" si="1"/>
        <v/>
      </c>
      <c r="I22" s="14"/>
      <c r="J22" s="14"/>
    </row>
    <row r="23" spans="1:10" outlineLevel="1">
      <c r="A23" s="27"/>
      <c r="B23" s="10"/>
      <c r="C23" s="41" t="str">
        <f t="shared" si="2"/>
        <v/>
      </c>
      <c r="D23" s="10"/>
      <c r="E23" s="10"/>
      <c r="F23" s="28"/>
      <c r="G23" s="29"/>
      <c r="H23" s="42" t="str">
        <f t="shared" si="1"/>
        <v/>
      </c>
      <c r="I23" s="14"/>
      <c r="J23" s="14"/>
    </row>
    <row r="24" spans="1:10" outlineLevel="1">
      <c r="A24" s="27"/>
      <c r="B24" s="10"/>
      <c r="C24" s="41" t="str">
        <f t="shared" si="2"/>
        <v/>
      </c>
      <c r="D24" s="10"/>
      <c r="E24" s="10"/>
      <c r="F24" s="28"/>
      <c r="G24" s="29"/>
      <c r="H24" s="42" t="str">
        <f t="shared" si="1"/>
        <v/>
      </c>
      <c r="I24" s="14"/>
      <c r="J24" s="14"/>
    </row>
    <row r="25" spans="1:10" outlineLevel="1">
      <c r="A25" s="27"/>
      <c r="B25" s="10"/>
      <c r="C25" s="41" t="str">
        <f t="shared" si="2"/>
        <v/>
      </c>
      <c r="D25" s="10"/>
      <c r="E25" s="10"/>
      <c r="F25" s="28"/>
      <c r="G25" s="29"/>
      <c r="H25" s="42" t="str">
        <f t="shared" si="1"/>
        <v/>
      </c>
      <c r="I25" s="14"/>
      <c r="J25" s="14"/>
    </row>
    <row r="26" spans="1:10" outlineLevel="1">
      <c r="A26" s="27"/>
      <c r="B26" s="10"/>
      <c r="C26" s="41" t="str">
        <f t="shared" si="2"/>
        <v/>
      </c>
      <c r="D26" s="10"/>
      <c r="E26" s="10"/>
      <c r="F26" s="28"/>
      <c r="G26" s="29"/>
      <c r="H26" s="42" t="str">
        <f t="shared" si="1"/>
        <v/>
      </c>
      <c r="I26" s="14"/>
      <c r="J26" s="14"/>
    </row>
    <row r="27" spans="1:10" outlineLevel="1">
      <c r="A27" s="27"/>
      <c r="B27" s="10"/>
      <c r="C27" s="41" t="str">
        <f t="shared" si="2"/>
        <v/>
      </c>
      <c r="D27" s="10"/>
      <c r="E27" s="10"/>
      <c r="F27" s="28"/>
      <c r="G27" s="29"/>
      <c r="H27" s="42" t="str">
        <f t="shared" si="1"/>
        <v/>
      </c>
      <c r="I27" s="14"/>
      <c r="J27" s="14"/>
    </row>
    <row r="28" spans="1:10" outlineLevel="1">
      <c r="A28" s="27"/>
      <c r="B28" s="10"/>
      <c r="C28" s="41" t="str">
        <f t="shared" si="2"/>
        <v/>
      </c>
      <c r="D28" s="10"/>
      <c r="E28" s="10"/>
      <c r="F28" s="28"/>
      <c r="G28" s="29"/>
      <c r="H28" s="42" t="str">
        <f t="shared" si="1"/>
        <v/>
      </c>
      <c r="I28" s="14"/>
      <c r="J28" s="14"/>
    </row>
    <row r="29" spans="1:10" outlineLevel="1">
      <c r="A29" s="27"/>
      <c r="B29" s="10"/>
      <c r="C29" s="41" t="str">
        <f t="shared" si="2"/>
        <v/>
      </c>
      <c r="D29" s="10"/>
      <c r="E29" s="10"/>
      <c r="F29" s="28"/>
      <c r="G29" s="29"/>
      <c r="H29" s="42" t="str">
        <f t="shared" si="1"/>
        <v/>
      </c>
      <c r="I29" s="14"/>
      <c r="J29" s="14"/>
    </row>
    <row r="30" spans="1:10" outlineLevel="1">
      <c r="A30" s="27"/>
      <c r="B30" s="10"/>
      <c r="C30" s="41" t="str">
        <f t="shared" si="2"/>
        <v/>
      </c>
      <c r="D30" s="10"/>
      <c r="E30" s="10"/>
      <c r="F30" s="28"/>
      <c r="G30" s="29"/>
      <c r="H30" s="42" t="str">
        <f t="shared" si="1"/>
        <v/>
      </c>
      <c r="I30" s="14"/>
      <c r="J30" s="14"/>
    </row>
    <row r="31" spans="1:10" outlineLevel="1">
      <c r="A31" s="27"/>
      <c r="B31" s="10"/>
      <c r="C31" s="41" t="str">
        <f t="shared" si="2"/>
        <v/>
      </c>
      <c r="D31" s="10"/>
      <c r="E31" s="10"/>
      <c r="F31" s="28"/>
      <c r="G31" s="29"/>
      <c r="H31" s="42" t="str">
        <f t="shared" si="1"/>
        <v/>
      </c>
      <c r="I31" s="14"/>
      <c r="J31" s="14"/>
    </row>
    <row r="32" spans="1:10" outlineLevel="1">
      <c r="A32" s="27"/>
      <c r="B32" s="10"/>
      <c r="C32" s="41" t="str">
        <f t="shared" si="2"/>
        <v/>
      </c>
      <c r="D32" s="10"/>
      <c r="E32" s="10"/>
      <c r="F32" s="28"/>
      <c r="G32" s="29"/>
      <c r="H32" s="42" t="str">
        <f t="shared" si="1"/>
        <v/>
      </c>
      <c r="I32" s="14"/>
      <c r="J32" s="14"/>
    </row>
    <row r="33" spans="1:10" outlineLevel="1">
      <c r="A33" s="27"/>
      <c r="B33" s="10"/>
      <c r="C33" s="41" t="str">
        <f t="shared" si="2"/>
        <v/>
      </c>
      <c r="D33" s="10"/>
      <c r="E33" s="10"/>
      <c r="F33" s="28"/>
      <c r="G33" s="29"/>
      <c r="H33" s="42" t="str">
        <f t="shared" si="1"/>
        <v/>
      </c>
      <c r="I33" s="14"/>
      <c r="J33" s="14"/>
    </row>
    <row r="34" spans="1:10" outlineLevel="1">
      <c r="A34" s="27"/>
      <c r="B34" s="10"/>
      <c r="C34" s="41" t="str">
        <f t="shared" si="2"/>
        <v/>
      </c>
      <c r="D34" s="10"/>
      <c r="E34" s="10"/>
      <c r="F34" s="28"/>
      <c r="G34" s="29"/>
      <c r="H34" s="42" t="str">
        <f t="shared" si="1"/>
        <v/>
      </c>
      <c r="I34" s="14"/>
      <c r="J34" s="14"/>
    </row>
    <row r="35" spans="1:10" outlineLevel="1">
      <c r="A35" s="27"/>
      <c r="B35" s="10"/>
      <c r="C35" s="41" t="str">
        <f t="shared" si="2"/>
        <v/>
      </c>
      <c r="D35" s="10"/>
      <c r="E35" s="10"/>
      <c r="F35" s="28"/>
      <c r="G35" s="29"/>
      <c r="H35" s="42" t="str">
        <f t="shared" si="1"/>
        <v/>
      </c>
      <c r="I35" s="14"/>
      <c r="J35" s="14"/>
    </row>
    <row r="36" spans="1:10" outlineLevel="1">
      <c r="A36" s="27"/>
      <c r="B36" s="10"/>
      <c r="C36" s="41" t="str">
        <f t="shared" si="2"/>
        <v/>
      </c>
      <c r="D36" s="10"/>
      <c r="E36" s="10"/>
      <c r="F36" s="28"/>
      <c r="G36" s="29"/>
      <c r="H36" s="42" t="str">
        <f t="shared" si="1"/>
        <v/>
      </c>
      <c r="I36" s="14"/>
      <c r="J36" s="14"/>
    </row>
    <row r="37" spans="1:10" outlineLevel="1">
      <c r="A37" s="27"/>
      <c r="B37" s="10"/>
      <c r="C37" s="41" t="str">
        <f t="shared" si="2"/>
        <v/>
      </c>
      <c r="D37" s="10"/>
      <c r="E37" s="10"/>
      <c r="F37" s="28"/>
      <c r="G37" s="29"/>
      <c r="H37" s="42" t="str">
        <f t="shared" si="1"/>
        <v/>
      </c>
      <c r="I37" s="14"/>
      <c r="J37" s="14"/>
    </row>
    <row r="38" spans="1:10" outlineLevel="1">
      <c r="A38" s="27"/>
      <c r="B38" s="10"/>
      <c r="C38" s="41" t="str">
        <f t="shared" si="2"/>
        <v/>
      </c>
      <c r="D38" s="10"/>
      <c r="E38" s="10"/>
      <c r="F38" s="28"/>
      <c r="G38" s="29"/>
      <c r="H38" s="42" t="str">
        <f t="shared" si="1"/>
        <v/>
      </c>
      <c r="I38" s="14"/>
      <c r="J38" s="14"/>
    </row>
    <row r="39" spans="1:10" outlineLevel="1">
      <c r="A39" s="27"/>
      <c r="B39" s="10"/>
      <c r="C39" s="41" t="str">
        <f t="shared" si="2"/>
        <v/>
      </c>
      <c r="D39" s="10"/>
      <c r="E39" s="10"/>
      <c r="F39" s="28"/>
      <c r="G39" s="29"/>
      <c r="H39" s="42" t="str">
        <f t="shared" si="1"/>
        <v/>
      </c>
      <c r="I39" s="14"/>
      <c r="J39" s="14"/>
    </row>
    <row r="40" spans="1:10" outlineLevel="1">
      <c r="A40" s="27"/>
      <c r="B40" s="10"/>
      <c r="C40" s="41" t="str">
        <f t="shared" si="2"/>
        <v/>
      </c>
      <c r="D40" s="10"/>
      <c r="E40" s="10"/>
      <c r="F40" s="28"/>
      <c r="G40" s="29"/>
      <c r="H40" s="42" t="str">
        <f t="shared" si="1"/>
        <v/>
      </c>
      <c r="I40" s="14"/>
      <c r="J40" s="14"/>
    </row>
    <row r="41" spans="1:10" outlineLevel="1">
      <c r="A41" s="27"/>
      <c r="B41" s="10"/>
      <c r="C41" s="41" t="str">
        <f t="shared" si="2"/>
        <v/>
      </c>
      <c r="D41" s="10"/>
      <c r="E41" s="10"/>
      <c r="F41" s="28"/>
      <c r="G41" s="29"/>
      <c r="H41" s="42" t="str">
        <f t="shared" si="1"/>
        <v/>
      </c>
      <c r="I41" s="14"/>
      <c r="J41" s="14"/>
    </row>
    <row r="42" spans="1:10" outlineLevel="1">
      <c r="A42" s="27"/>
      <c r="B42" s="10"/>
      <c r="C42" s="41" t="str">
        <f t="shared" si="2"/>
        <v/>
      </c>
      <c r="D42" s="10"/>
      <c r="E42" s="10"/>
      <c r="F42" s="28"/>
      <c r="G42" s="29"/>
      <c r="H42" s="42" t="str">
        <f t="shared" si="1"/>
        <v/>
      </c>
      <c r="I42" s="14"/>
      <c r="J42" s="14"/>
    </row>
    <row r="43" spans="1:10" outlineLevel="1">
      <c r="A43" s="27"/>
      <c r="B43" s="10"/>
      <c r="C43" s="41" t="str">
        <f t="shared" si="2"/>
        <v/>
      </c>
      <c r="D43" s="10"/>
      <c r="E43" s="10"/>
      <c r="F43" s="28"/>
      <c r="G43" s="29"/>
      <c r="H43" s="42" t="str">
        <f t="shared" si="1"/>
        <v/>
      </c>
      <c r="I43" s="14"/>
      <c r="J43" s="14"/>
    </row>
    <row r="44" spans="1:10" outlineLevel="1">
      <c r="A44" s="27"/>
      <c r="B44" s="10"/>
      <c r="C44" s="41" t="str">
        <f t="shared" si="2"/>
        <v/>
      </c>
      <c r="D44" s="10"/>
      <c r="E44" s="10"/>
      <c r="F44" s="28"/>
      <c r="G44" s="29"/>
      <c r="H44" s="42" t="str">
        <f t="shared" si="1"/>
        <v/>
      </c>
      <c r="I44" s="14"/>
      <c r="J44" s="14"/>
    </row>
    <row r="45" spans="1:10" outlineLevel="1">
      <c r="A45" s="27"/>
      <c r="B45" s="10"/>
      <c r="C45" s="41" t="str">
        <f t="shared" si="2"/>
        <v/>
      </c>
      <c r="D45" s="10"/>
      <c r="E45" s="10"/>
      <c r="F45" s="28"/>
      <c r="G45" s="29"/>
      <c r="H45" s="42" t="str">
        <f t="shared" si="1"/>
        <v/>
      </c>
      <c r="I45" s="14"/>
      <c r="J45" s="14"/>
    </row>
    <row r="46" spans="1:10" outlineLevel="1">
      <c r="A46" s="27"/>
      <c r="B46" s="10"/>
      <c r="C46" s="41" t="str">
        <f t="shared" si="2"/>
        <v/>
      </c>
      <c r="D46" s="10"/>
      <c r="E46" s="10"/>
      <c r="F46" s="28"/>
      <c r="G46" s="29"/>
      <c r="H46" s="42" t="str">
        <f t="shared" si="1"/>
        <v/>
      </c>
      <c r="I46" s="14"/>
      <c r="J46" s="14"/>
    </row>
    <row r="47" spans="1:10" outlineLevel="1">
      <c r="A47" s="32"/>
      <c r="B47" s="14"/>
      <c r="C47" s="41" t="str">
        <f t="shared" si="2"/>
        <v/>
      </c>
      <c r="D47" s="14"/>
      <c r="E47" s="14"/>
      <c r="F47" s="28"/>
      <c r="G47" s="14"/>
      <c r="H47" s="42" t="str">
        <f t="shared" si="1"/>
        <v/>
      </c>
      <c r="I47" s="14"/>
      <c r="J47" s="14"/>
    </row>
    <row r="48" spans="1:10" outlineLevel="1">
      <c r="A48" s="32"/>
      <c r="B48" s="14"/>
      <c r="C48" s="41" t="str">
        <f t="shared" si="2"/>
        <v/>
      </c>
      <c r="D48" s="14"/>
      <c r="E48" s="14"/>
      <c r="F48" s="28"/>
      <c r="G48" s="14"/>
      <c r="H48" s="42" t="str">
        <f t="shared" si="1"/>
        <v/>
      </c>
      <c r="I48" s="14"/>
      <c r="J48" s="14"/>
    </row>
    <row r="49" spans="1:10" outlineLevel="1">
      <c r="A49" s="27"/>
      <c r="B49" s="12"/>
      <c r="C49" s="41" t="str">
        <f t="shared" si="2"/>
        <v/>
      </c>
      <c r="D49" s="10"/>
      <c r="E49" s="10"/>
      <c r="F49" s="28"/>
      <c r="G49" s="29"/>
      <c r="H49" s="42" t="str">
        <f t="shared" si="1"/>
        <v/>
      </c>
      <c r="I49" s="14"/>
      <c r="J49" s="14"/>
    </row>
    <row r="50" spans="1:10" outlineLevel="1">
      <c r="A50" s="27"/>
      <c r="B50" s="12"/>
      <c r="C50" s="41" t="str">
        <f t="shared" si="2"/>
        <v/>
      </c>
      <c r="D50" s="10"/>
      <c r="E50" s="14"/>
      <c r="F50" s="28"/>
      <c r="G50" s="29"/>
      <c r="H50" s="42" t="str">
        <f t="shared" si="1"/>
        <v/>
      </c>
      <c r="I50" s="14"/>
      <c r="J50" s="14"/>
    </row>
    <row r="51" spans="1:10" outlineLevel="1">
      <c r="A51" s="27"/>
      <c r="B51" s="12"/>
      <c r="C51" s="41" t="str">
        <f t="shared" si="2"/>
        <v/>
      </c>
      <c r="D51" s="10"/>
      <c r="E51" s="14"/>
      <c r="F51" s="28"/>
      <c r="G51" s="29"/>
      <c r="H51" s="42" t="str">
        <f t="shared" si="1"/>
        <v/>
      </c>
      <c r="I51" s="14"/>
      <c r="J51" s="14"/>
    </row>
    <row r="52" spans="1:10" outlineLevel="1">
      <c r="A52" s="27"/>
      <c r="B52" s="13"/>
      <c r="C52" s="41" t="str">
        <f t="shared" si="2"/>
        <v/>
      </c>
      <c r="D52" s="10"/>
      <c r="E52" s="10"/>
      <c r="F52" s="28"/>
      <c r="G52" s="29"/>
      <c r="H52" s="42" t="str">
        <f t="shared" si="1"/>
        <v/>
      </c>
      <c r="I52" s="14"/>
      <c r="J52" s="14"/>
    </row>
    <row r="53" spans="1:10" outlineLevel="1">
      <c r="A53" s="27"/>
      <c r="B53" s="13"/>
      <c r="C53" s="41" t="str">
        <f t="shared" si="2"/>
        <v/>
      </c>
      <c r="D53" s="10"/>
      <c r="E53" s="14"/>
      <c r="F53" s="28"/>
      <c r="G53" s="29"/>
      <c r="H53" s="42" t="str">
        <f t="shared" si="1"/>
        <v/>
      </c>
      <c r="I53" s="14"/>
      <c r="J53" s="14"/>
    </row>
    <row r="54" spans="1:10" outlineLevel="1">
      <c r="A54" s="27"/>
      <c r="B54" s="13"/>
      <c r="C54" s="41" t="str">
        <f t="shared" si="2"/>
        <v/>
      </c>
      <c r="D54" s="10"/>
      <c r="E54" s="10"/>
      <c r="F54" s="28"/>
      <c r="G54" s="29"/>
      <c r="H54" s="42" t="str">
        <f t="shared" si="1"/>
        <v/>
      </c>
      <c r="I54" s="14"/>
      <c r="J54" s="14"/>
    </row>
    <row r="55" spans="1:10" outlineLevel="1">
      <c r="A55" s="27"/>
      <c r="B55" s="13"/>
      <c r="C55" s="41" t="str">
        <f t="shared" si="2"/>
        <v/>
      </c>
      <c r="D55" s="10"/>
      <c r="E55" s="10"/>
      <c r="F55" s="28"/>
      <c r="G55" s="29"/>
      <c r="H55" s="42" t="str">
        <f t="shared" si="1"/>
        <v/>
      </c>
      <c r="I55" s="14"/>
      <c r="J55" s="14"/>
    </row>
    <row r="56" spans="1:10" outlineLevel="1">
      <c r="A56" s="27"/>
      <c r="B56" s="13"/>
      <c r="C56" s="41" t="str">
        <f t="shared" si="2"/>
        <v/>
      </c>
      <c r="D56" s="10"/>
      <c r="E56" s="10"/>
      <c r="F56" s="28"/>
      <c r="G56" s="29"/>
      <c r="H56" s="42" t="str">
        <f t="shared" si="1"/>
        <v/>
      </c>
      <c r="I56" s="14"/>
      <c r="J56" s="14"/>
    </row>
    <row r="57" spans="1:10" outlineLevel="1">
      <c r="A57" s="27"/>
      <c r="B57" s="13"/>
      <c r="C57" s="41" t="str">
        <f t="shared" si="2"/>
        <v/>
      </c>
      <c r="D57" s="10"/>
      <c r="E57" s="10"/>
      <c r="F57" s="28"/>
      <c r="G57" s="29"/>
      <c r="H57" s="42" t="str">
        <f t="shared" si="1"/>
        <v/>
      </c>
      <c r="I57" s="14"/>
      <c r="J57" s="14"/>
    </row>
    <row r="58" spans="1:10" outlineLevel="1">
      <c r="A58" s="27"/>
      <c r="B58" s="13"/>
      <c r="C58" s="41" t="str">
        <f t="shared" si="2"/>
        <v/>
      </c>
      <c r="D58" s="10"/>
      <c r="E58" s="10"/>
      <c r="F58" s="28"/>
      <c r="G58" s="29"/>
      <c r="H58" s="42" t="str">
        <f t="shared" si="1"/>
        <v/>
      </c>
      <c r="I58" s="14"/>
      <c r="J58" s="14"/>
    </row>
    <row r="59" spans="1:10" outlineLevel="1">
      <c r="A59" s="27"/>
      <c r="B59" s="10"/>
      <c r="C59" s="41" t="str">
        <f t="shared" si="2"/>
        <v/>
      </c>
      <c r="D59" s="10"/>
      <c r="E59" s="10"/>
      <c r="F59" s="28"/>
      <c r="G59" s="29"/>
      <c r="H59" s="42" t="str">
        <f t="shared" si="1"/>
        <v/>
      </c>
      <c r="I59" s="14"/>
      <c r="J59" s="14"/>
    </row>
    <row r="60" spans="1:10" outlineLevel="1">
      <c r="A60" s="27"/>
      <c r="B60" s="10"/>
      <c r="C60" s="41" t="str">
        <f t="shared" si="2"/>
        <v/>
      </c>
      <c r="D60" s="10"/>
      <c r="E60" s="10"/>
      <c r="F60" s="28"/>
      <c r="G60" s="29"/>
      <c r="H60" s="42" t="str">
        <f t="shared" si="1"/>
        <v/>
      </c>
      <c r="I60" s="14"/>
      <c r="J60" s="14"/>
    </row>
    <row r="61" spans="1:10" outlineLevel="1">
      <c r="A61" s="27"/>
      <c r="B61" s="10"/>
      <c r="C61" s="41" t="str">
        <f t="shared" si="2"/>
        <v/>
      </c>
      <c r="D61" s="10"/>
      <c r="E61" s="10"/>
      <c r="F61" s="28"/>
      <c r="G61" s="29"/>
      <c r="H61" s="42" t="str">
        <f t="shared" si="1"/>
        <v/>
      </c>
      <c r="I61" s="14"/>
      <c r="J61" s="14"/>
    </row>
    <row r="62" spans="1:10" outlineLevel="1">
      <c r="A62" s="27"/>
      <c r="B62" s="10"/>
      <c r="C62" s="41" t="str">
        <f t="shared" si="2"/>
        <v/>
      </c>
      <c r="D62" s="10"/>
      <c r="E62" s="10"/>
      <c r="F62" s="28"/>
      <c r="G62" s="29"/>
      <c r="H62" s="42" t="str">
        <f t="shared" si="1"/>
        <v/>
      </c>
      <c r="I62" s="14"/>
      <c r="J62" s="14"/>
    </row>
    <row r="63" spans="1:10" outlineLevel="1">
      <c r="A63" s="27"/>
      <c r="B63" s="10"/>
      <c r="C63" s="41" t="str">
        <f t="shared" si="2"/>
        <v/>
      </c>
      <c r="D63" s="10"/>
      <c r="E63" s="10"/>
      <c r="F63" s="28"/>
      <c r="G63" s="29"/>
      <c r="H63" s="42" t="str">
        <f t="shared" si="1"/>
        <v/>
      </c>
      <c r="I63" s="14"/>
      <c r="J63" s="14"/>
    </row>
    <row r="64" spans="1:10" outlineLevel="1">
      <c r="A64" s="27"/>
      <c r="B64" s="10"/>
      <c r="C64" s="41" t="str">
        <f t="shared" si="2"/>
        <v/>
      </c>
      <c r="D64" s="10"/>
      <c r="E64" s="10"/>
      <c r="F64" s="28"/>
      <c r="G64" s="29"/>
      <c r="H64" s="42" t="str">
        <f t="shared" si="1"/>
        <v/>
      </c>
      <c r="I64" s="14"/>
      <c r="J64" s="14"/>
    </row>
    <row r="65" spans="1:10" outlineLevel="1">
      <c r="A65" s="27"/>
      <c r="B65" s="10"/>
      <c r="C65" s="41" t="str">
        <f t="shared" si="2"/>
        <v/>
      </c>
      <c r="D65" s="10"/>
      <c r="E65" s="10"/>
      <c r="F65" s="28"/>
      <c r="G65" s="29"/>
      <c r="H65" s="42" t="str">
        <f t="shared" si="1"/>
        <v/>
      </c>
      <c r="I65" s="14"/>
      <c r="J65" s="14"/>
    </row>
    <row r="66" spans="1:10" outlineLevel="1">
      <c r="A66" s="27"/>
      <c r="B66" s="10"/>
      <c r="C66" s="41" t="str">
        <f t="shared" si="2"/>
        <v/>
      </c>
      <c r="D66" s="10"/>
      <c r="E66" s="10"/>
      <c r="F66" s="28"/>
      <c r="G66" s="29"/>
      <c r="H66" s="42" t="str">
        <f t="shared" si="1"/>
        <v/>
      </c>
      <c r="I66" s="14"/>
      <c r="J66" s="14"/>
    </row>
    <row r="67" spans="1:10" outlineLevel="1">
      <c r="A67" s="27"/>
      <c r="B67" s="10"/>
      <c r="C67" s="41" t="str">
        <f t="shared" si="2"/>
        <v/>
      </c>
      <c r="D67" s="10"/>
      <c r="E67" s="10"/>
      <c r="F67" s="28"/>
      <c r="G67" s="29"/>
      <c r="H67" s="42" t="str">
        <f t="shared" si="1"/>
        <v/>
      </c>
      <c r="I67" s="14"/>
      <c r="J67" s="14"/>
    </row>
    <row r="68" spans="1:10" outlineLevel="1">
      <c r="A68" s="27"/>
      <c r="B68" s="10"/>
      <c r="C68" s="41" t="str">
        <f t="shared" ref="C68:C131" si="3">IF(B68=0,"",MONTH(B68))</f>
        <v/>
      </c>
      <c r="D68" s="10"/>
      <c r="E68" s="10"/>
      <c r="F68" s="28"/>
      <c r="G68" s="29"/>
      <c r="H68" s="42" t="str">
        <f t="shared" ref="H68:H131" si="4">IF(F68+G68&gt;0,H67+F68-G68,"")</f>
        <v/>
      </c>
      <c r="I68" s="14"/>
      <c r="J68" s="14"/>
    </row>
    <row r="69" spans="1:10" outlineLevel="1">
      <c r="A69" s="27"/>
      <c r="B69" s="10"/>
      <c r="C69" s="41" t="str">
        <f t="shared" si="3"/>
        <v/>
      </c>
      <c r="D69" s="10"/>
      <c r="E69" s="10"/>
      <c r="F69" s="28"/>
      <c r="G69" s="29"/>
      <c r="H69" s="42" t="str">
        <f t="shared" si="4"/>
        <v/>
      </c>
      <c r="I69" s="14"/>
      <c r="J69" s="14"/>
    </row>
    <row r="70" spans="1:10" outlineLevel="1">
      <c r="A70" s="27"/>
      <c r="B70" s="10"/>
      <c r="C70" s="41" t="str">
        <f t="shared" si="3"/>
        <v/>
      </c>
      <c r="D70" s="10"/>
      <c r="E70" s="10"/>
      <c r="F70" s="28"/>
      <c r="G70" s="29"/>
      <c r="H70" s="42" t="str">
        <f t="shared" si="4"/>
        <v/>
      </c>
      <c r="I70" s="14"/>
      <c r="J70" s="14"/>
    </row>
    <row r="71" spans="1:10" outlineLevel="1">
      <c r="A71" s="27"/>
      <c r="B71" s="10"/>
      <c r="C71" s="41" t="str">
        <f t="shared" si="3"/>
        <v/>
      </c>
      <c r="D71" s="10"/>
      <c r="E71" s="10"/>
      <c r="F71" s="28"/>
      <c r="G71" s="29"/>
      <c r="H71" s="42" t="str">
        <f t="shared" si="4"/>
        <v/>
      </c>
      <c r="I71" s="14"/>
      <c r="J71" s="14"/>
    </row>
    <row r="72" spans="1:10" outlineLevel="1">
      <c r="A72" s="27"/>
      <c r="B72" s="10"/>
      <c r="C72" s="41" t="str">
        <f t="shared" si="3"/>
        <v/>
      </c>
      <c r="D72" s="10"/>
      <c r="E72" s="10"/>
      <c r="F72" s="28"/>
      <c r="G72" s="29"/>
      <c r="H72" s="42" t="str">
        <f t="shared" si="4"/>
        <v/>
      </c>
      <c r="I72" s="14"/>
      <c r="J72" s="14"/>
    </row>
    <row r="73" spans="1:10" outlineLevel="1">
      <c r="A73" s="27"/>
      <c r="B73" s="10"/>
      <c r="C73" s="41" t="str">
        <f t="shared" si="3"/>
        <v/>
      </c>
      <c r="D73" s="10"/>
      <c r="E73" s="10"/>
      <c r="F73" s="28"/>
      <c r="G73" s="29"/>
      <c r="H73" s="42" t="str">
        <f t="shared" si="4"/>
        <v/>
      </c>
      <c r="I73" s="14"/>
      <c r="J73" s="14"/>
    </row>
    <row r="74" spans="1:10" outlineLevel="1">
      <c r="A74" s="27"/>
      <c r="B74" s="10"/>
      <c r="C74" s="41" t="str">
        <f t="shared" si="3"/>
        <v/>
      </c>
      <c r="D74" s="10"/>
      <c r="E74" s="10"/>
      <c r="F74" s="28"/>
      <c r="G74" s="29"/>
      <c r="H74" s="42" t="str">
        <f t="shared" si="4"/>
        <v/>
      </c>
      <c r="I74" s="14"/>
      <c r="J74" s="14"/>
    </row>
    <row r="75" spans="1:10" outlineLevel="1">
      <c r="A75" s="27"/>
      <c r="B75" s="10"/>
      <c r="C75" s="41" t="str">
        <f t="shared" si="3"/>
        <v/>
      </c>
      <c r="D75" s="10"/>
      <c r="E75" s="10"/>
      <c r="F75" s="28"/>
      <c r="G75" s="29"/>
      <c r="H75" s="42" t="str">
        <f t="shared" si="4"/>
        <v/>
      </c>
      <c r="I75" s="14"/>
      <c r="J75" s="14"/>
    </row>
    <row r="76" spans="1:10" outlineLevel="1">
      <c r="A76" s="27"/>
      <c r="B76" s="10"/>
      <c r="C76" s="41" t="str">
        <f t="shared" si="3"/>
        <v/>
      </c>
      <c r="D76" s="10"/>
      <c r="E76" s="10"/>
      <c r="F76" s="28"/>
      <c r="G76" s="29"/>
      <c r="H76" s="42" t="str">
        <f t="shared" si="4"/>
        <v/>
      </c>
      <c r="I76" s="14"/>
      <c r="J76" s="14"/>
    </row>
    <row r="77" spans="1:10" outlineLevel="1">
      <c r="A77" s="27"/>
      <c r="B77" s="10"/>
      <c r="C77" s="41" t="str">
        <f t="shared" si="3"/>
        <v/>
      </c>
      <c r="D77" s="10"/>
      <c r="E77" s="10"/>
      <c r="F77" s="28"/>
      <c r="G77" s="29"/>
      <c r="H77" s="42" t="str">
        <f t="shared" si="4"/>
        <v/>
      </c>
      <c r="I77" s="14"/>
      <c r="J77" s="14"/>
    </row>
    <row r="78" spans="1:10" outlineLevel="1">
      <c r="A78" s="27"/>
      <c r="B78" s="10"/>
      <c r="C78" s="41" t="str">
        <f t="shared" si="3"/>
        <v/>
      </c>
      <c r="D78" s="10"/>
      <c r="E78" s="10"/>
      <c r="F78" s="28"/>
      <c r="G78" s="29"/>
      <c r="H78" s="42" t="str">
        <f t="shared" si="4"/>
        <v/>
      </c>
      <c r="I78" s="14"/>
      <c r="J78" s="14"/>
    </row>
    <row r="79" spans="1:10" outlineLevel="1">
      <c r="A79" s="27"/>
      <c r="B79" s="10"/>
      <c r="C79" s="41" t="str">
        <f t="shared" si="3"/>
        <v/>
      </c>
      <c r="D79" s="10"/>
      <c r="E79" s="10"/>
      <c r="F79" s="28"/>
      <c r="G79" s="29"/>
      <c r="H79" s="42" t="str">
        <f t="shared" si="4"/>
        <v/>
      </c>
      <c r="I79" s="14"/>
      <c r="J79" s="14"/>
    </row>
    <row r="80" spans="1:10" outlineLevel="1">
      <c r="A80" s="27"/>
      <c r="B80" s="10"/>
      <c r="C80" s="41" t="str">
        <f t="shared" si="3"/>
        <v/>
      </c>
      <c r="D80" s="10"/>
      <c r="E80" s="10"/>
      <c r="F80" s="28"/>
      <c r="G80" s="29"/>
      <c r="H80" s="42" t="str">
        <f t="shared" si="4"/>
        <v/>
      </c>
      <c r="I80" s="14"/>
      <c r="J80" s="14"/>
    </row>
    <row r="81" spans="1:10" outlineLevel="1">
      <c r="A81" s="27"/>
      <c r="B81" s="10"/>
      <c r="C81" s="41" t="str">
        <f t="shared" si="3"/>
        <v/>
      </c>
      <c r="D81" s="10"/>
      <c r="E81" s="10"/>
      <c r="F81" s="28"/>
      <c r="G81" s="29"/>
      <c r="H81" s="42" t="str">
        <f t="shared" si="4"/>
        <v/>
      </c>
      <c r="I81" s="14"/>
      <c r="J81" s="14"/>
    </row>
    <row r="82" spans="1:10" outlineLevel="1">
      <c r="A82" s="27"/>
      <c r="B82" s="10"/>
      <c r="C82" s="41" t="str">
        <f t="shared" si="3"/>
        <v/>
      </c>
      <c r="D82" s="10"/>
      <c r="E82" s="10"/>
      <c r="F82" s="28"/>
      <c r="G82" s="29"/>
      <c r="H82" s="42" t="str">
        <f t="shared" si="4"/>
        <v/>
      </c>
      <c r="I82" s="14"/>
      <c r="J82" s="14"/>
    </row>
    <row r="83" spans="1:10" outlineLevel="1">
      <c r="A83" s="27"/>
      <c r="B83" s="10"/>
      <c r="C83" s="41" t="str">
        <f t="shared" si="3"/>
        <v/>
      </c>
      <c r="D83" s="10"/>
      <c r="E83" s="10"/>
      <c r="F83" s="28"/>
      <c r="G83" s="29"/>
      <c r="H83" s="42" t="str">
        <f t="shared" si="4"/>
        <v/>
      </c>
      <c r="I83" s="14"/>
      <c r="J83" s="14"/>
    </row>
    <row r="84" spans="1:10" outlineLevel="1">
      <c r="A84" s="27"/>
      <c r="B84" s="10"/>
      <c r="C84" s="41" t="str">
        <f t="shared" si="3"/>
        <v/>
      </c>
      <c r="D84" s="10"/>
      <c r="E84" s="10"/>
      <c r="F84" s="28"/>
      <c r="G84" s="29"/>
      <c r="H84" s="42" t="str">
        <f t="shared" si="4"/>
        <v/>
      </c>
      <c r="I84" s="14"/>
      <c r="J84" s="14"/>
    </row>
    <row r="85" spans="1:10" outlineLevel="1">
      <c r="A85" s="27"/>
      <c r="B85" s="10"/>
      <c r="C85" s="41" t="str">
        <f t="shared" si="3"/>
        <v/>
      </c>
      <c r="D85" s="10"/>
      <c r="E85" s="10"/>
      <c r="F85" s="28"/>
      <c r="G85" s="29"/>
      <c r="H85" s="42" t="str">
        <f t="shared" si="4"/>
        <v/>
      </c>
      <c r="I85" s="14"/>
      <c r="J85" s="14"/>
    </row>
    <row r="86" spans="1:10" outlineLevel="1">
      <c r="A86" s="27"/>
      <c r="B86" s="10"/>
      <c r="C86" s="41" t="str">
        <f t="shared" si="3"/>
        <v/>
      </c>
      <c r="D86" s="10"/>
      <c r="E86" s="10"/>
      <c r="F86" s="28"/>
      <c r="G86" s="29"/>
      <c r="H86" s="42" t="str">
        <f t="shared" si="4"/>
        <v/>
      </c>
      <c r="I86" s="14"/>
      <c r="J86" s="14"/>
    </row>
    <row r="87" spans="1:10" outlineLevel="1">
      <c r="A87" s="27"/>
      <c r="B87" s="10"/>
      <c r="C87" s="41" t="str">
        <f t="shared" si="3"/>
        <v/>
      </c>
      <c r="D87" s="10"/>
      <c r="E87" s="10"/>
      <c r="F87" s="28"/>
      <c r="G87" s="29"/>
      <c r="H87" s="42" t="str">
        <f t="shared" si="4"/>
        <v/>
      </c>
      <c r="I87" s="14"/>
      <c r="J87" s="14"/>
    </row>
    <row r="88" spans="1:10" outlineLevel="1">
      <c r="A88" s="27"/>
      <c r="B88" s="10"/>
      <c r="C88" s="41" t="str">
        <f t="shared" si="3"/>
        <v/>
      </c>
      <c r="D88" s="10"/>
      <c r="E88" s="10"/>
      <c r="F88" s="28"/>
      <c r="G88" s="29"/>
      <c r="H88" s="42" t="str">
        <f t="shared" si="4"/>
        <v/>
      </c>
      <c r="I88" s="14"/>
      <c r="J88" s="14"/>
    </row>
    <row r="89" spans="1:10" outlineLevel="1">
      <c r="A89" s="27"/>
      <c r="B89" s="10"/>
      <c r="C89" s="41" t="str">
        <f t="shared" si="3"/>
        <v/>
      </c>
      <c r="D89" s="10"/>
      <c r="E89" s="10"/>
      <c r="F89" s="28"/>
      <c r="G89" s="29"/>
      <c r="H89" s="42" t="str">
        <f t="shared" si="4"/>
        <v/>
      </c>
      <c r="I89" s="14"/>
      <c r="J89" s="14"/>
    </row>
    <row r="90" spans="1:10" outlineLevel="1">
      <c r="A90" s="27"/>
      <c r="B90" s="10"/>
      <c r="C90" s="41" t="str">
        <f t="shared" si="3"/>
        <v/>
      </c>
      <c r="D90" s="10"/>
      <c r="E90" s="10"/>
      <c r="F90" s="28"/>
      <c r="G90" s="29"/>
      <c r="H90" s="42" t="str">
        <f t="shared" si="4"/>
        <v/>
      </c>
      <c r="I90" s="14"/>
      <c r="J90" s="14"/>
    </row>
    <row r="91" spans="1:10" outlineLevel="1">
      <c r="A91" s="27"/>
      <c r="B91" s="10"/>
      <c r="C91" s="41" t="str">
        <f t="shared" si="3"/>
        <v/>
      </c>
      <c r="D91" s="10"/>
      <c r="E91" s="10"/>
      <c r="F91" s="28"/>
      <c r="G91" s="29"/>
      <c r="H91" s="42" t="str">
        <f t="shared" si="4"/>
        <v/>
      </c>
      <c r="I91" s="14"/>
      <c r="J91" s="14"/>
    </row>
    <row r="92" spans="1:10" outlineLevel="1">
      <c r="A92" s="27"/>
      <c r="B92" s="10"/>
      <c r="C92" s="41" t="str">
        <f t="shared" si="3"/>
        <v/>
      </c>
      <c r="D92" s="10"/>
      <c r="E92" s="10"/>
      <c r="F92" s="28"/>
      <c r="G92" s="29"/>
      <c r="H92" s="42" t="str">
        <f t="shared" si="4"/>
        <v/>
      </c>
      <c r="I92" s="14"/>
      <c r="J92" s="14"/>
    </row>
    <row r="93" spans="1:10" outlineLevel="1">
      <c r="A93" s="32"/>
      <c r="B93" s="14"/>
      <c r="C93" s="41" t="str">
        <f t="shared" si="3"/>
        <v/>
      </c>
      <c r="D93" s="14"/>
      <c r="E93" s="14"/>
      <c r="F93" s="28"/>
      <c r="G93" s="14"/>
      <c r="H93" s="42" t="str">
        <f t="shared" si="4"/>
        <v/>
      </c>
      <c r="I93" s="14"/>
      <c r="J93" s="14"/>
    </row>
    <row r="94" spans="1:10" outlineLevel="1">
      <c r="A94" s="32"/>
      <c r="B94" s="14"/>
      <c r="C94" s="41" t="str">
        <f t="shared" si="3"/>
        <v/>
      </c>
      <c r="D94" s="14"/>
      <c r="E94" s="14"/>
      <c r="F94" s="28"/>
      <c r="G94" s="14"/>
      <c r="H94" s="42" t="str">
        <f t="shared" si="4"/>
        <v/>
      </c>
      <c r="I94" s="14"/>
      <c r="J94" s="14"/>
    </row>
    <row r="95" spans="1:10" outlineLevel="1">
      <c r="A95" s="27"/>
      <c r="B95" s="12"/>
      <c r="C95" s="41" t="str">
        <f t="shared" si="3"/>
        <v/>
      </c>
      <c r="D95" s="10"/>
      <c r="E95" s="10"/>
      <c r="F95" s="28"/>
      <c r="G95" s="29"/>
      <c r="H95" s="42" t="str">
        <f t="shared" si="4"/>
        <v/>
      </c>
      <c r="I95" s="14"/>
      <c r="J95" s="14"/>
    </row>
    <row r="96" spans="1:10" outlineLevel="1">
      <c r="A96" s="27"/>
      <c r="B96" s="12"/>
      <c r="C96" s="41" t="str">
        <f t="shared" si="3"/>
        <v/>
      </c>
      <c r="D96" s="10"/>
      <c r="E96" s="14"/>
      <c r="F96" s="28"/>
      <c r="G96" s="29"/>
      <c r="H96" s="42" t="str">
        <f t="shared" si="4"/>
        <v/>
      </c>
      <c r="I96" s="14"/>
      <c r="J96" s="14"/>
    </row>
    <row r="97" spans="1:10" outlineLevel="1">
      <c r="A97" s="27"/>
      <c r="B97" s="12"/>
      <c r="C97" s="41" t="str">
        <f t="shared" si="3"/>
        <v/>
      </c>
      <c r="D97" s="10"/>
      <c r="E97" s="14"/>
      <c r="F97" s="28"/>
      <c r="G97" s="29"/>
      <c r="H97" s="42" t="str">
        <f t="shared" si="4"/>
        <v/>
      </c>
      <c r="I97" s="14"/>
      <c r="J97" s="14"/>
    </row>
    <row r="98" spans="1:10" outlineLevel="1">
      <c r="A98" s="27"/>
      <c r="B98" s="13"/>
      <c r="C98" s="41" t="str">
        <f t="shared" si="3"/>
        <v/>
      </c>
      <c r="D98" s="10"/>
      <c r="E98" s="10"/>
      <c r="F98" s="28"/>
      <c r="G98" s="29"/>
      <c r="H98" s="42" t="str">
        <f t="shared" si="4"/>
        <v/>
      </c>
      <c r="I98" s="14"/>
      <c r="J98" s="14"/>
    </row>
    <row r="99" spans="1:10" outlineLevel="1">
      <c r="A99" s="27"/>
      <c r="B99" s="13"/>
      <c r="C99" s="41" t="str">
        <f t="shared" si="3"/>
        <v/>
      </c>
      <c r="D99" s="10"/>
      <c r="E99" s="14"/>
      <c r="F99" s="28"/>
      <c r="G99" s="29"/>
      <c r="H99" s="42" t="str">
        <f t="shared" si="4"/>
        <v/>
      </c>
      <c r="I99" s="14"/>
      <c r="J99" s="14"/>
    </row>
    <row r="100" spans="1:10" outlineLevel="1">
      <c r="A100" s="27"/>
      <c r="B100" s="13"/>
      <c r="C100" s="41" t="str">
        <f t="shared" si="3"/>
        <v/>
      </c>
      <c r="D100" s="10"/>
      <c r="E100" s="10"/>
      <c r="F100" s="28"/>
      <c r="G100" s="29"/>
      <c r="H100" s="42" t="str">
        <f t="shared" si="4"/>
        <v/>
      </c>
      <c r="I100" s="14"/>
      <c r="J100" s="14"/>
    </row>
    <row r="101" spans="1:10" outlineLevel="1">
      <c r="A101" s="27"/>
      <c r="B101" s="13"/>
      <c r="C101" s="41" t="str">
        <f t="shared" si="3"/>
        <v/>
      </c>
      <c r="D101" s="10"/>
      <c r="E101" s="10"/>
      <c r="F101" s="28"/>
      <c r="G101" s="29"/>
      <c r="H101" s="42" t="str">
        <f t="shared" si="4"/>
        <v/>
      </c>
      <c r="I101" s="14"/>
      <c r="J101" s="14"/>
    </row>
    <row r="102" spans="1:10" outlineLevel="1">
      <c r="A102" s="27"/>
      <c r="B102" s="13"/>
      <c r="C102" s="41" t="str">
        <f t="shared" si="3"/>
        <v/>
      </c>
      <c r="D102" s="10"/>
      <c r="E102" s="10"/>
      <c r="F102" s="28"/>
      <c r="G102" s="29"/>
      <c r="H102" s="42" t="str">
        <f t="shared" si="4"/>
        <v/>
      </c>
      <c r="I102" s="14"/>
      <c r="J102" s="14"/>
    </row>
    <row r="103" spans="1:10" outlineLevel="1">
      <c r="A103" s="27"/>
      <c r="B103" s="13"/>
      <c r="C103" s="41" t="str">
        <f t="shared" si="3"/>
        <v/>
      </c>
      <c r="D103" s="10"/>
      <c r="E103" s="10"/>
      <c r="F103" s="28"/>
      <c r="G103" s="29"/>
      <c r="H103" s="42" t="str">
        <f t="shared" si="4"/>
        <v/>
      </c>
      <c r="I103" s="14"/>
      <c r="J103" s="14"/>
    </row>
    <row r="104" spans="1:10" outlineLevel="1">
      <c r="A104" s="27"/>
      <c r="B104" s="13"/>
      <c r="C104" s="41" t="str">
        <f t="shared" si="3"/>
        <v/>
      </c>
      <c r="D104" s="10"/>
      <c r="E104" s="10"/>
      <c r="F104" s="28"/>
      <c r="G104" s="29"/>
      <c r="H104" s="42" t="str">
        <f t="shared" si="4"/>
        <v/>
      </c>
      <c r="I104" s="14"/>
      <c r="J104" s="14"/>
    </row>
    <row r="105" spans="1:10" outlineLevel="1">
      <c r="A105" s="27"/>
      <c r="B105" s="10"/>
      <c r="C105" s="41" t="str">
        <f t="shared" si="3"/>
        <v/>
      </c>
      <c r="D105" s="10"/>
      <c r="E105" s="10"/>
      <c r="F105" s="28"/>
      <c r="G105" s="29"/>
      <c r="H105" s="42" t="str">
        <f t="shared" si="4"/>
        <v/>
      </c>
      <c r="I105" s="14"/>
      <c r="J105" s="14"/>
    </row>
    <row r="106" spans="1:10" outlineLevel="1">
      <c r="A106" s="27"/>
      <c r="B106" s="10"/>
      <c r="C106" s="41" t="str">
        <f t="shared" si="3"/>
        <v/>
      </c>
      <c r="D106" s="10"/>
      <c r="E106" s="10"/>
      <c r="F106" s="28"/>
      <c r="G106" s="29"/>
      <c r="H106" s="42" t="str">
        <f t="shared" si="4"/>
        <v/>
      </c>
      <c r="I106" s="14"/>
      <c r="J106" s="14"/>
    </row>
    <row r="107" spans="1:10" outlineLevel="1">
      <c r="A107" s="27"/>
      <c r="B107" s="10"/>
      <c r="C107" s="41" t="str">
        <f t="shared" si="3"/>
        <v/>
      </c>
      <c r="D107" s="10"/>
      <c r="E107" s="10"/>
      <c r="F107" s="28"/>
      <c r="G107" s="29"/>
      <c r="H107" s="42" t="str">
        <f t="shared" si="4"/>
        <v/>
      </c>
      <c r="I107" s="14"/>
      <c r="J107" s="14"/>
    </row>
    <row r="108" spans="1:10" outlineLevel="1">
      <c r="A108" s="27"/>
      <c r="B108" s="10"/>
      <c r="C108" s="41" t="str">
        <f t="shared" si="3"/>
        <v/>
      </c>
      <c r="D108" s="10"/>
      <c r="E108" s="10"/>
      <c r="F108" s="28"/>
      <c r="G108" s="29"/>
      <c r="H108" s="42" t="str">
        <f t="shared" si="4"/>
        <v/>
      </c>
      <c r="I108" s="14"/>
      <c r="J108" s="14"/>
    </row>
    <row r="109" spans="1:10" outlineLevel="1">
      <c r="A109" s="27"/>
      <c r="B109" s="10"/>
      <c r="C109" s="41" t="str">
        <f t="shared" si="3"/>
        <v/>
      </c>
      <c r="D109" s="10"/>
      <c r="E109" s="10"/>
      <c r="F109" s="28"/>
      <c r="G109" s="29"/>
      <c r="H109" s="42" t="str">
        <f t="shared" si="4"/>
        <v/>
      </c>
      <c r="I109" s="14"/>
      <c r="J109" s="14"/>
    </row>
    <row r="110" spans="1:10" outlineLevel="1">
      <c r="A110" s="27"/>
      <c r="B110" s="10"/>
      <c r="C110" s="41" t="str">
        <f t="shared" si="3"/>
        <v/>
      </c>
      <c r="D110" s="10"/>
      <c r="E110" s="10"/>
      <c r="F110" s="28"/>
      <c r="G110" s="29"/>
      <c r="H110" s="42" t="str">
        <f t="shared" si="4"/>
        <v/>
      </c>
      <c r="I110" s="14"/>
      <c r="J110" s="14"/>
    </row>
    <row r="111" spans="1:10" outlineLevel="1">
      <c r="A111" s="27"/>
      <c r="B111" s="10"/>
      <c r="C111" s="41" t="str">
        <f t="shared" si="3"/>
        <v/>
      </c>
      <c r="D111" s="10"/>
      <c r="E111" s="10"/>
      <c r="F111" s="28"/>
      <c r="G111" s="29"/>
      <c r="H111" s="42" t="str">
        <f t="shared" si="4"/>
        <v/>
      </c>
      <c r="I111" s="14"/>
      <c r="J111" s="14"/>
    </row>
    <row r="112" spans="1:10" outlineLevel="1">
      <c r="A112" s="27"/>
      <c r="B112" s="10"/>
      <c r="C112" s="41" t="str">
        <f t="shared" si="3"/>
        <v/>
      </c>
      <c r="D112" s="10"/>
      <c r="E112" s="10"/>
      <c r="F112" s="28"/>
      <c r="G112" s="29"/>
      <c r="H112" s="42" t="str">
        <f t="shared" si="4"/>
        <v/>
      </c>
      <c r="I112" s="14"/>
      <c r="J112" s="14"/>
    </row>
    <row r="113" spans="1:10" outlineLevel="1">
      <c r="A113" s="27"/>
      <c r="B113" s="10"/>
      <c r="C113" s="41" t="str">
        <f t="shared" si="3"/>
        <v/>
      </c>
      <c r="D113" s="10"/>
      <c r="E113" s="10"/>
      <c r="F113" s="28"/>
      <c r="G113" s="29"/>
      <c r="H113" s="42" t="str">
        <f t="shared" si="4"/>
        <v/>
      </c>
      <c r="I113" s="14"/>
      <c r="J113" s="14"/>
    </row>
    <row r="114" spans="1:10" outlineLevel="1">
      <c r="A114" s="27"/>
      <c r="B114" s="10"/>
      <c r="C114" s="41" t="str">
        <f t="shared" si="3"/>
        <v/>
      </c>
      <c r="D114" s="10"/>
      <c r="E114" s="10"/>
      <c r="F114" s="28"/>
      <c r="G114" s="29"/>
      <c r="H114" s="42" t="str">
        <f t="shared" si="4"/>
        <v/>
      </c>
      <c r="I114" s="14"/>
      <c r="J114" s="14"/>
    </row>
    <row r="115" spans="1:10" outlineLevel="1">
      <c r="A115" s="27"/>
      <c r="B115" s="10"/>
      <c r="C115" s="41" t="str">
        <f t="shared" si="3"/>
        <v/>
      </c>
      <c r="D115" s="10"/>
      <c r="E115" s="10"/>
      <c r="F115" s="28"/>
      <c r="G115" s="29"/>
      <c r="H115" s="42" t="str">
        <f t="shared" si="4"/>
        <v/>
      </c>
      <c r="I115" s="14"/>
      <c r="J115" s="14"/>
    </row>
    <row r="116" spans="1:10" outlineLevel="1">
      <c r="A116" s="27"/>
      <c r="B116" s="10"/>
      <c r="C116" s="41" t="str">
        <f t="shared" si="3"/>
        <v/>
      </c>
      <c r="D116" s="10"/>
      <c r="E116" s="10"/>
      <c r="F116" s="28"/>
      <c r="G116" s="29"/>
      <c r="H116" s="42" t="str">
        <f t="shared" si="4"/>
        <v/>
      </c>
      <c r="I116" s="14"/>
      <c r="J116" s="14"/>
    </row>
    <row r="117" spans="1:10" outlineLevel="1">
      <c r="A117" s="27"/>
      <c r="B117" s="10"/>
      <c r="C117" s="41" t="str">
        <f t="shared" si="3"/>
        <v/>
      </c>
      <c r="D117" s="10"/>
      <c r="E117" s="10"/>
      <c r="F117" s="28"/>
      <c r="G117" s="29"/>
      <c r="H117" s="42" t="str">
        <f t="shared" si="4"/>
        <v/>
      </c>
      <c r="I117" s="14"/>
      <c r="J117" s="14"/>
    </row>
    <row r="118" spans="1:10" outlineLevel="1">
      <c r="A118" s="27"/>
      <c r="B118" s="10"/>
      <c r="C118" s="41" t="str">
        <f t="shared" si="3"/>
        <v/>
      </c>
      <c r="D118" s="10"/>
      <c r="E118" s="10"/>
      <c r="F118" s="28"/>
      <c r="G118" s="29"/>
      <c r="H118" s="42" t="str">
        <f t="shared" si="4"/>
        <v/>
      </c>
      <c r="I118" s="14"/>
      <c r="J118" s="14"/>
    </row>
    <row r="119" spans="1:10" outlineLevel="1">
      <c r="A119" s="27"/>
      <c r="B119" s="10"/>
      <c r="C119" s="41" t="str">
        <f t="shared" si="3"/>
        <v/>
      </c>
      <c r="D119" s="10"/>
      <c r="E119" s="10"/>
      <c r="F119" s="28"/>
      <c r="G119" s="29"/>
      <c r="H119" s="42" t="str">
        <f t="shared" si="4"/>
        <v/>
      </c>
      <c r="I119" s="14"/>
      <c r="J119" s="14"/>
    </row>
    <row r="120" spans="1:10" outlineLevel="1">
      <c r="A120" s="27"/>
      <c r="B120" s="10"/>
      <c r="C120" s="41" t="str">
        <f t="shared" si="3"/>
        <v/>
      </c>
      <c r="D120" s="10"/>
      <c r="E120" s="10"/>
      <c r="F120" s="28"/>
      <c r="G120" s="29"/>
      <c r="H120" s="42" t="str">
        <f t="shared" si="4"/>
        <v/>
      </c>
      <c r="I120" s="14"/>
      <c r="J120" s="14"/>
    </row>
    <row r="121" spans="1:10" outlineLevel="1">
      <c r="A121" s="27"/>
      <c r="B121" s="10"/>
      <c r="C121" s="41" t="str">
        <f t="shared" si="3"/>
        <v/>
      </c>
      <c r="D121" s="10"/>
      <c r="E121" s="10"/>
      <c r="F121" s="28"/>
      <c r="G121" s="29"/>
      <c r="H121" s="42" t="str">
        <f t="shared" si="4"/>
        <v/>
      </c>
      <c r="I121" s="14"/>
      <c r="J121" s="14"/>
    </row>
    <row r="122" spans="1:10" outlineLevel="1">
      <c r="A122" s="27"/>
      <c r="B122" s="10"/>
      <c r="C122" s="41" t="str">
        <f t="shared" si="3"/>
        <v/>
      </c>
      <c r="D122" s="10"/>
      <c r="E122" s="10"/>
      <c r="F122" s="28"/>
      <c r="G122" s="29"/>
      <c r="H122" s="42" t="str">
        <f t="shared" si="4"/>
        <v/>
      </c>
      <c r="I122" s="14"/>
      <c r="J122" s="14"/>
    </row>
    <row r="123" spans="1:10" outlineLevel="1">
      <c r="A123" s="27"/>
      <c r="B123" s="10"/>
      <c r="C123" s="41" t="str">
        <f t="shared" si="3"/>
        <v/>
      </c>
      <c r="D123" s="10"/>
      <c r="E123" s="10"/>
      <c r="F123" s="28"/>
      <c r="G123" s="29"/>
      <c r="H123" s="42" t="str">
        <f t="shared" si="4"/>
        <v/>
      </c>
      <c r="I123" s="14"/>
      <c r="J123" s="14"/>
    </row>
    <row r="124" spans="1:10" outlineLevel="1">
      <c r="A124" s="27"/>
      <c r="B124" s="10"/>
      <c r="C124" s="41" t="str">
        <f t="shared" si="3"/>
        <v/>
      </c>
      <c r="D124" s="10"/>
      <c r="E124" s="10"/>
      <c r="F124" s="28"/>
      <c r="G124" s="29"/>
      <c r="H124" s="42" t="str">
        <f t="shared" si="4"/>
        <v/>
      </c>
      <c r="I124" s="14"/>
      <c r="J124" s="14"/>
    </row>
    <row r="125" spans="1:10" outlineLevel="1">
      <c r="A125" s="27"/>
      <c r="B125" s="10"/>
      <c r="C125" s="41" t="str">
        <f t="shared" si="3"/>
        <v/>
      </c>
      <c r="D125" s="10"/>
      <c r="E125" s="10"/>
      <c r="F125" s="28"/>
      <c r="G125" s="29"/>
      <c r="H125" s="42" t="str">
        <f t="shared" si="4"/>
        <v/>
      </c>
      <c r="I125" s="14"/>
      <c r="J125" s="14"/>
    </row>
    <row r="126" spans="1:10" outlineLevel="1">
      <c r="A126" s="27"/>
      <c r="B126" s="10"/>
      <c r="C126" s="41" t="str">
        <f t="shared" si="3"/>
        <v/>
      </c>
      <c r="D126" s="10"/>
      <c r="E126" s="10"/>
      <c r="F126" s="28"/>
      <c r="G126" s="29"/>
      <c r="H126" s="42" t="str">
        <f t="shared" si="4"/>
        <v/>
      </c>
      <c r="I126" s="14"/>
      <c r="J126" s="14"/>
    </row>
    <row r="127" spans="1:10" outlineLevel="1">
      <c r="A127" s="27"/>
      <c r="B127" s="10"/>
      <c r="C127" s="41" t="str">
        <f t="shared" si="3"/>
        <v/>
      </c>
      <c r="D127" s="10"/>
      <c r="E127" s="10"/>
      <c r="F127" s="28"/>
      <c r="G127" s="29"/>
      <c r="H127" s="42" t="str">
        <f t="shared" si="4"/>
        <v/>
      </c>
      <c r="I127" s="14"/>
      <c r="J127" s="14"/>
    </row>
    <row r="128" spans="1:10" outlineLevel="1">
      <c r="A128" s="27"/>
      <c r="B128" s="10"/>
      <c r="C128" s="41" t="str">
        <f t="shared" si="3"/>
        <v/>
      </c>
      <c r="D128" s="10"/>
      <c r="E128" s="10"/>
      <c r="F128" s="28"/>
      <c r="G128" s="29"/>
      <c r="H128" s="42" t="str">
        <f t="shared" si="4"/>
        <v/>
      </c>
      <c r="I128" s="14"/>
      <c r="J128" s="14"/>
    </row>
    <row r="129" spans="1:10" outlineLevel="1">
      <c r="A129" s="27"/>
      <c r="B129" s="10"/>
      <c r="C129" s="41" t="str">
        <f t="shared" si="3"/>
        <v/>
      </c>
      <c r="D129" s="10"/>
      <c r="E129" s="10"/>
      <c r="F129" s="28"/>
      <c r="G129" s="29"/>
      <c r="H129" s="42" t="str">
        <f t="shared" si="4"/>
        <v/>
      </c>
      <c r="I129" s="14"/>
      <c r="J129" s="14"/>
    </row>
    <row r="130" spans="1:10" outlineLevel="1">
      <c r="A130" s="27"/>
      <c r="B130" s="10"/>
      <c r="C130" s="41" t="str">
        <f t="shared" si="3"/>
        <v/>
      </c>
      <c r="D130" s="10"/>
      <c r="E130" s="10"/>
      <c r="F130" s="28"/>
      <c r="G130" s="29"/>
      <c r="H130" s="42" t="str">
        <f t="shared" si="4"/>
        <v/>
      </c>
      <c r="I130" s="14"/>
      <c r="J130" s="14"/>
    </row>
    <row r="131" spans="1:10" outlineLevel="1">
      <c r="A131" s="27"/>
      <c r="B131" s="10"/>
      <c r="C131" s="41" t="str">
        <f t="shared" si="3"/>
        <v/>
      </c>
      <c r="D131" s="10"/>
      <c r="E131" s="10"/>
      <c r="F131" s="28"/>
      <c r="G131" s="29"/>
      <c r="H131" s="42" t="str">
        <f t="shared" si="4"/>
        <v/>
      </c>
      <c r="I131" s="14"/>
      <c r="J131" s="14"/>
    </row>
    <row r="132" spans="1:10" outlineLevel="1">
      <c r="A132" s="27"/>
      <c r="B132" s="10"/>
      <c r="C132" s="41" t="str">
        <f t="shared" ref="C132:C195" si="5">IF(B132=0,"",MONTH(B132))</f>
        <v/>
      </c>
      <c r="D132" s="10"/>
      <c r="E132" s="10"/>
      <c r="F132" s="28"/>
      <c r="G132" s="29"/>
      <c r="H132" s="42" t="str">
        <f t="shared" ref="H132:H195" si="6">IF(F132+G132&gt;0,H131+F132-G132,"")</f>
        <v/>
      </c>
      <c r="I132" s="14"/>
      <c r="J132" s="14"/>
    </row>
    <row r="133" spans="1:10" outlineLevel="1">
      <c r="A133" s="27"/>
      <c r="B133" s="10"/>
      <c r="C133" s="41" t="str">
        <f t="shared" si="5"/>
        <v/>
      </c>
      <c r="D133" s="10"/>
      <c r="E133" s="10"/>
      <c r="F133" s="28"/>
      <c r="G133" s="29"/>
      <c r="H133" s="42" t="str">
        <f t="shared" si="6"/>
        <v/>
      </c>
      <c r="I133" s="14"/>
      <c r="J133" s="14"/>
    </row>
    <row r="134" spans="1:10" outlineLevel="1">
      <c r="A134" s="27"/>
      <c r="B134" s="10"/>
      <c r="C134" s="41" t="str">
        <f t="shared" si="5"/>
        <v/>
      </c>
      <c r="D134" s="10"/>
      <c r="E134" s="10"/>
      <c r="F134" s="28"/>
      <c r="G134" s="29"/>
      <c r="H134" s="42" t="str">
        <f t="shared" si="6"/>
        <v/>
      </c>
      <c r="I134" s="14"/>
      <c r="J134" s="14"/>
    </row>
    <row r="135" spans="1:10" outlineLevel="1">
      <c r="A135" s="27"/>
      <c r="B135" s="10"/>
      <c r="C135" s="41" t="str">
        <f t="shared" si="5"/>
        <v/>
      </c>
      <c r="D135" s="10"/>
      <c r="E135" s="10"/>
      <c r="F135" s="28"/>
      <c r="G135" s="29"/>
      <c r="H135" s="42" t="str">
        <f t="shared" si="6"/>
        <v/>
      </c>
      <c r="I135" s="14"/>
      <c r="J135" s="14"/>
    </row>
    <row r="136" spans="1:10" outlineLevel="1">
      <c r="A136" s="27"/>
      <c r="B136" s="10"/>
      <c r="C136" s="41" t="str">
        <f t="shared" si="5"/>
        <v/>
      </c>
      <c r="D136" s="10"/>
      <c r="E136" s="10"/>
      <c r="F136" s="28"/>
      <c r="G136" s="29"/>
      <c r="H136" s="42" t="str">
        <f t="shared" si="6"/>
        <v/>
      </c>
      <c r="I136" s="14"/>
      <c r="J136" s="14"/>
    </row>
    <row r="137" spans="1:10" outlineLevel="1">
      <c r="A137" s="27"/>
      <c r="B137" s="10"/>
      <c r="C137" s="41" t="str">
        <f t="shared" si="5"/>
        <v/>
      </c>
      <c r="D137" s="10"/>
      <c r="E137" s="10"/>
      <c r="F137" s="28"/>
      <c r="G137" s="29"/>
      <c r="H137" s="42" t="str">
        <f t="shared" si="6"/>
        <v/>
      </c>
      <c r="I137" s="14"/>
      <c r="J137" s="14"/>
    </row>
    <row r="138" spans="1:10" outlineLevel="1">
      <c r="A138" s="27"/>
      <c r="B138" s="10"/>
      <c r="C138" s="41" t="str">
        <f t="shared" si="5"/>
        <v/>
      </c>
      <c r="D138" s="10"/>
      <c r="E138" s="10"/>
      <c r="F138" s="28"/>
      <c r="G138" s="29"/>
      <c r="H138" s="42" t="str">
        <f t="shared" si="6"/>
        <v/>
      </c>
      <c r="I138" s="14"/>
      <c r="J138" s="14"/>
    </row>
    <row r="139" spans="1:10" outlineLevel="1">
      <c r="A139" s="32"/>
      <c r="B139" s="14"/>
      <c r="C139" s="41" t="str">
        <f t="shared" si="5"/>
        <v/>
      </c>
      <c r="D139" s="14"/>
      <c r="E139" s="14"/>
      <c r="F139" s="28"/>
      <c r="G139" s="14"/>
      <c r="H139" s="42" t="str">
        <f t="shared" si="6"/>
        <v/>
      </c>
      <c r="I139" s="14"/>
      <c r="J139" s="14"/>
    </row>
    <row r="140" spans="1:10" outlineLevel="1">
      <c r="A140" s="32"/>
      <c r="B140" s="14"/>
      <c r="C140" s="41" t="str">
        <f t="shared" si="5"/>
        <v/>
      </c>
      <c r="D140" s="14"/>
      <c r="E140" s="14"/>
      <c r="F140" s="28"/>
      <c r="G140" s="14"/>
      <c r="H140" s="42" t="str">
        <f t="shared" si="6"/>
        <v/>
      </c>
      <c r="I140" s="14"/>
      <c r="J140" s="14"/>
    </row>
    <row r="141" spans="1:10" outlineLevel="1">
      <c r="A141" s="27"/>
      <c r="B141" s="12"/>
      <c r="C141" s="41" t="str">
        <f t="shared" si="5"/>
        <v/>
      </c>
      <c r="D141" s="10"/>
      <c r="E141" s="10"/>
      <c r="F141" s="28"/>
      <c r="G141" s="29"/>
      <c r="H141" s="42" t="str">
        <f t="shared" si="6"/>
        <v/>
      </c>
      <c r="I141" s="14"/>
      <c r="J141" s="14"/>
    </row>
    <row r="142" spans="1:10" outlineLevel="1">
      <c r="A142" s="27"/>
      <c r="B142" s="12"/>
      <c r="C142" s="41" t="str">
        <f t="shared" si="5"/>
        <v/>
      </c>
      <c r="D142" s="10"/>
      <c r="E142" s="14"/>
      <c r="F142" s="28"/>
      <c r="G142" s="29"/>
      <c r="H142" s="42" t="str">
        <f t="shared" si="6"/>
        <v/>
      </c>
      <c r="I142" s="14"/>
      <c r="J142" s="14"/>
    </row>
    <row r="143" spans="1:10" outlineLevel="1">
      <c r="A143" s="27"/>
      <c r="B143" s="12"/>
      <c r="C143" s="41" t="str">
        <f t="shared" si="5"/>
        <v/>
      </c>
      <c r="D143" s="10"/>
      <c r="E143" s="14"/>
      <c r="F143" s="28"/>
      <c r="G143" s="29"/>
      <c r="H143" s="42" t="str">
        <f t="shared" si="6"/>
        <v/>
      </c>
      <c r="I143" s="14"/>
      <c r="J143" s="14"/>
    </row>
    <row r="144" spans="1:10" outlineLevel="1">
      <c r="A144" s="27"/>
      <c r="B144" s="13"/>
      <c r="C144" s="41" t="str">
        <f t="shared" si="5"/>
        <v/>
      </c>
      <c r="D144" s="10"/>
      <c r="E144" s="10"/>
      <c r="F144" s="28"/>
      <c r="G144" s="29"/>
      <c r="H144" s="42" t="str">
        <f t="shared" si="6"/>
        <v/>
      </c>
      <c r="I144" s="14"/>
      <c r="J144" s="14"/>
    </row>
    <row r="145" spans="1:10" outlineLevel="1">
      <c r="A145" s="27"/>
      <c r="B145" s="13"/>
      <c r="C145" s="41" t="str">
        <f t="shared" si="5"/>
        <v/>
      </c>
      <c r="D145" s="10"/>
      <c r="E145" s="14"/>
      <c r="F145" s="28"/>
      <c r="G145" s="29"/>
      <c r="H145" s="42" t="str">
        <f t="shared" si="6"/>
        <v/>
      </c>
      <c r="I145" s="14"/>
      <c r="J145" s="14"/>
    </row>
    <row r="146" spans="1:10" outlineLevel="1">
      <c r="A146" s="27"/>
      <c r="B146" s="13"/>
      <c r="C146" s="41" t="str">
        <f t="shared" si="5"/>
        <v/>
      </c>
      <c r="D146" s="10"/>
      <c r="E146" s="10"/>
      <c r="F146" s="28"/>
      <c r="G146" s="29"/>
      <c r="H146" s="42" t="str">
        <f t="shared" si="6"/>
        <v/>
      </c>
      <c r="I146" s="14"/>
      <c r="J146" s="14"/>
    </row>
    <row r="147" spans="1:10" outlineLevel="1">
      <c r="A147" s="27"/>
      <c r="B147" s="13"/>
      <c r="C147" s="41" t="str">
        <f t="shared" si="5"/>
        <v/>
      </c>
      <c r="D147" s="10"/>
      <c r="E147" s="10"/>
      <c r="F147" s="28"/>
      <c r="G147" s="29"/>
      <c r="H147" s="42" t="str">
        <f t="shared" si="6"/>
        <v/>
      </c>
      <c r="I147" s="14"/>
      <c r="J147" s="14"/>
    </row>
    <row r="148" spans="1:10" outlineLevel="1">
      <c r="A148" s="27"/>
      <c r="B148" s="13"/>
      <c r="C148" s="41" t="str">
        <f t="shared" si="5"/>
        <v/>
      </c>
      <c r="D148" s="10"/>
      <c r="E148" s="10"/>
      <c r="F148" s="28"/>
      <c r="G148" s="29"/>
      <c r="H148" s="42" t="str">
        <f t="shared" si="6"/>
        <v/>
      </c>
      <c r="I148" s="14"/>
      <c r="J148" s="14"/>
    </row>
    <row r="149" spans="1:10" outlineLevel="1">
      <c r="A149" s="27"/>
      <c r="B149" s="13"/>
      <c r="C149" s="41" t="str">
        <f t="shared" si="5"/>
        <v/>
      </c>
      <c r="D149" s="10"/>
      <c r="E149" s="10"/>
      <c r="F149" s="28"/>
      <c r="G149" s="29"/>
      <c r="H149" s="42" t="str">
        <f t="shared" si="6"/>
        <v/>
      </c>
      <c r="I149" s="14"/>
      <c r="J149" s="14"/>
    </row>
    <row r="150" spans="1:10" outlineLevel="1">
      <c r="A150" s="27"/>
      <c r="B150" s="13"/>
      <c r="C150" s="41" t="str">
        <f t="shared" si="5"/>
        <v/>
      </c>
      <c r="D150" s="10"/>
      <c r="E150" s="10"/>
      <c r="F150" s="28"/>
      <c r="G150" s="29"/>
      <c r="H150" s="42" t="str">
        <f t="shared" si="6"/>
        <v/>
      </c>
      <c r="I150" s="14"/>
      <c r="J150" s="14"/>
    </row>
    <row r="151" spans="1:10" outlineLevel="1">
      <c r="A151" s="27"/>
      <c r="B151" s="10"/>
      <c r="C151" s="41" t="str">
        <f t="shared" si="5"/>
        <v/>
      </c>
      <c r="D151" s="10"/>
      <c r="E151" s="10"/>
      <c r="F151" s="28"/>
      <c r="G151" s="29"/>
      <c r="H151" s="42" t="str">
        <f t="shared" si="6"/>
        <v/>
      </c>
      <c r="I151" s="14"/>
      <c r="J151" s="14"/>
    </row>
    <row r="152" spans="1:10" outlineLevel="1">
      <c r="A152" s="27"/>
      <c r="B152" s="10"/>
      <c r="C152" s="41" t="str">
        <f t="shared" si="5"/>
        <v/>
      </c>
      <c r="D152" s="10"/>
      <c r="E152" s="10"/>
      <c r="F152" s="28"/>
      <c r="G152" s="29"/>
      <c r="H152" s="42" t="str">
        <f t="shared" si="6"/>
        <v/>
      </c>
      <c r="I152" s="14"/>
      <c r="J152" s="14"/>
    </row>
    <row r="153" spans="1:10" outlineLevel="1">
      <c r="A153" s="27"/>
      <c r="B153" s="10"/>
      <c r="C153" s="41" t="str">
        <f t="shared" si="5"/>
        <v/>
      </c>
      <c r="D153" s="10"/>
      <c r="E153" s="10"/>
      <c r="F153" s="28"/>
      <c r="G153" s="29"/>
      <c r="H153" s="42" t="str">
        <f t="shared" si="6"/>
        <v/>
      </c>
      <c r="I153" s="14"/>
      <c r="J153" s="14"/>
    </row>
    <row r="154" spans="1:10" outlineLevel="1">
      <c r="A154" s="27"/>
      <c r="B154" s="10"/>
      <c r="C154" s="41" t="str">
        <f t="shared" si="5"/>
        <v/>
      </c>
      <c r="D154" s="10"/>
      <c r="E154" s="10"/>
      <c r="F154" s="28"/>
      <c r="G154" s="29"/>
      <c r="H154" s="42" t="str">
        <f t="shared" si="6"/>
        <v/>
      </c>
      <c r="I154" s="14"/>
      <c r="J154" s="14"/>
    </row>
    <row r="155" spans="1:10" outlineLevel="1">
      <c r="A155" s="27"/>
      <c r="B155" s="10"/>
      <c r="C155" s="41" t="str">
        <f t="shared" si="5"/>
        <v/>
      </c>
      <c r="D155" s="10"/>
      <c r="E155" s="10"/>
      <c r="F155" s="28"/>
      <c r="G155" s="29"/>
      <c r="H155" s="42" t="str">
        <f t="shared" si="6"/>
        <v/>
      </c>
      <c r="I155" s="14"/>
      <c r="J155" s="14"/>
    </row>
    <row r="156" spans="1:10" outlineLevel="1">
      <c r="A156" s="27"/>
      <c r="B156" s="10"/>
      <c r="C156" s="41" t="str">
        <f t="shared" si="5"/>
        <v/>
      </c>
      <c r="D156" s="10"/>
      <c r="E156" s="10"/>
      <c r="F156" s="28"/>
      <c r="G156" s="29"/>
      <c r="H156" s="42" t="str">
        <f t="shared" si="6"/>
        <v/>
      </c>
      <c r="I156" s="14"/>
      <c r="J156" s="14"/>
    </row>
    <row r="157" spans="1:10" outlineLevel="1">
      <c r="A157" s="27"/>
      <c r="B157" s="10"/>
      <c r="C157" s="41" t="str">
        <f t="shared" si="5"/>
        <v/>
      </c>
      <c r="D157" s="10"/>
      <c r="E157" s="10"/>
      <c r="F157" s="28"/>
      <c r="G157" s="29"/>
      <c r="H157" s="42" t="str">
        <f t="shared" si="6"/>
        <v/>
      </c>
      <c r="I157" s="14"/>
      <c r="J157" s="14"/>
    </row>
    <row r="158" spans="1:10" outlineLevel="1">
      <c r="A158" s="27"/>
      <c r="B158" s="10"/>
      <c r="C158" s="41" t="str">
        <f t="shared" si="5"/>
        <v/>
      </c>
      <c r="D158" s="10"/>
      <c r="E158" s="10"/>
      <c r="F158" s="28"/>
      <c r="G158" s="29"/>
      <c r="H158" s="42" t="str">
        <f t="shared" si="6"/>
        <v/>
      </c>
      <c r="I158" s="14"/>
      <c r="J158" s="14"/>
    </row>
    <row r="159" spans="1:10" outlineLevel="1">
      <c r="A159" s="27"/>
      <c r="B159" s="10"/>
      <c r="C159" s="41" t="str">
        <f t="shared" si="5"/>
        <v/>
      </c>
      <c r="D159" s="10"/>
      <c r="E159" s="10"/>
      <c r="F159" s="28"/>
      <c r="G159" s="29"/>
      <c r="H159" s="42" t="str">
        <f t="shared" si="6"/>
        <v/>
      </c>
      <c r="I159" s="14"/>
      <c r="J159" s="14"/>
    </row>
    <row r="160" spans="1:10" outlineLevel="1">
      <c r="A160" s="27"/>
      <c r="B160" s="10"/>
      <c r="C160" s="41" t="str">
        <f t="shared" si="5"/>
        <v/>
      </c>
      <c r="D160" s="10"/>
      <c r="E160" s="10"/>
      <c r="F160" s="28"/>
      <c r="G160" s="29"/>
      <c r="H160" s="42" t="str">
        <f t="shared" si="6"/>
        <v/>
      </c>
      <c r="I160" s="14"/>
      <c r="J160" s="14"/>
    </row>
    <row r="161" spans="1:10" outlineLevel="1">
      <c r="A161" s="27"/>
      <c r="B161" s="10"/>
      <c r="C161" s="41" t="str">
        <f t="shared" si="5"/>
        <v/>
      </c>
      <c r="D161" s="10"/>
      <c r="E161" s="10"/>
      <c r="F161" s="28"/>
      <c r="G161" s="29"/>
      <c r="H161" s="42" t="str">
        <f t="shared" si="6"/>
        <v/>
      </c>
      <c r="I161" s="14"/>
      <c r="J161" s="14"/>
    </row>
    <row r="162" spans="1:10" outlineLevel="1">
      <c r="A162" s="27"/>
      <c r="B162" s="10"/>
      <c r="C162" s="41" t="str">
        <f t="shared" si="5"/>
        <v/>
      </c>
      <c r="D162" s="10"/>
      <c r="E162" s="10"/>
      <c r="F162" s="28"/>
      <c r="G162" s="29"/>
      <c r="H162" s="42" t="str">
        <f t="shared" si="6"/>
        <v/>
      </c>
      <c r="I162" s="14"/>
      <c r="J162" s="14"/>
    </row>
    <row r="163" spans="1:10" outlineLevel="1">
      <c r="A163" s="27"/>
      <c r="B163" s="10"/>
      <c r="C163" s="41" t="str">
        <f t="shared" si="5"/>
        <v/>
      </c>
      <c r="D163" s="10"/>
      <c r="E163" s="10"/>
      <c r="F163" s="28"/>
      <c r="G163" s="29"/>
      <c r="H163" s="42" t="str">
        <f t="shared" si="6"/>
        <v/>
      </c>
      <c r="I163" s="14"/>
      <c r="J163" s="14"/>
    </row>
    <row r="164" spans="1:10" outlineLevel="1">
      <c r="A164" s="27"/>
      <c r="B164" s="10"/>
      <c r="C164" s="41" t="str">
        <f t="shared" si="5"/>
        <v/>
      </c>
      <c r="D164" s="10"/>
      <c r="E164" s="10"/>
      <c r="F164" s="28"/>
      <c r="G164" s="29"/>
      <c r="H164" s="42" t="str">
        <f t="shared" si="6"/>
        <v/>
      </c>
      <c r="I164" s="14"/>
      <c r="J164" s="14"/>
    </row>
    <row r="165" spans="1:10" outlineLevel="1">
      <c r="A165" s="27"/>
      <c r="B165" s="10"/>
      <c r="C165" s="41" t="str">
        <f t="shared" si="5"/>
        <v/>
      </c>
      <c r="D165" s="10"/>
      <c r="E165" s="10"/>
      <c r="F165" s="28"/>
      <c r="G165" s="29"/>
      <c r="H165" s="42" t="str">
        <f t="shared" si="6"/>
        <v/>
      </c>
      <c r="I165" s="14"/>
      <c r="J165" s="14"/>
    </row>
    <row r="166" spans="1:10" outlineLevel="1">
      <c r="A166" s="27"/>
      <c r="B166" s="10"/>
      <c r="C166" s="41" t="str">
        <f t="shared" si="5"/>
        <v/>
      </c>
      <c r="D166" s="10"/>
      <c r="E166" s="10"/>
      <c r="F166" s="28"/>
      <c r="G166" s="29"/>
      <c r="H166" s="42" t="str">
        <f t="shared" si="6"/>
        <v/>
      </c>
      <c r="I166" s="14"/>
      <c r="J166" s="14"/>
    </row>
    <row r="167" spans="1:10" outlineLevel="1">
      <c r="A167" s="27"/>
      <c r="B167" s="10"/>
      <c r="C167" s="41" t="str">
        <f t="shared" si="5"/>
        <v/>
      </c>
      <c r="D167" s="10"/>
      <c r="E167" s="10"/>
      <c r="F167" s="28"/>
      <c r="G167" s="29"/>
      <c r="H167" s="42" t="str">
        <f t="shared" si="6"/>
        <v/>
      </c>
      <c r="I167" s="14"/>
      <c r="J167" s="14"/>
    </row>
    <row r="168" spans="1:10" outlineLevel="1">
      <c r="A168" s="27"/>
      <c r="B168" s="10"/>
      <c r="C168" s="41" t="str">
        <f t="shared" si="5"/>
        <v/>
      </c>
      <c r="D168" s="10"/>
      <c r="E168" s="10"/>
      <c r="F168" s="28"/>
      <c r="G168" s="29"/>
      <c r="H168" s="42" t="str">
        <f t="shared" si="6"/>
        <v/>
      </c>
      <c r="I168" s="14"/>
      <c r="J168" s="14"/>
    </row>
    <row r="169" spans="1:10" outlineLevel="1">
      <c r="A169" s="27"/>
      <c r="B169" s="10"/>
      <c r="C169" s="41" t="str">
        <f t="shared" si="5"/>
        <v/>
      </c>
      <c r="D169" s="10"/>
      <c r="E169" s="10"/>
      <c r="F169" s="28"/>
      <c r="G169" s="29"/>
      <c r="H169" s="42" t="str">
        <f t="shared" si="6"/>
        <v/>
      </c>
      <c r="I169" s="14"/>
      <c r="J169" s="14"/>
    </row>
    <row r="170" spans="1:10" outlineLevel="1">
      <c r="A170" s="27"/>
      <c r="B170" s="10"/>
      <c r="C170" s="41" t="str">
        <f t="shared" si="5"/>
        <v/>
      </c>
      <c r="D170" s="10"/>
      <c r="E170" s="10"/>
      <c r="F170" s="28"/>
      <c r="G170" s="29"/>
      <c r="H170" s="42" t="str">
        <f t="shared" si="6"/>
        <v/>
      </c>
      <c r="I170" s="14"/>
      <c r="J170" s="14"/>
    </row>
    <row r="171" spans="1:10" outlineLevel="1">
      <c r="A171" s="27"/>
      <c r="B171" s="10"/>
      <c r="C171" s="41" t="str">
        <f t="shared" si="5"/>
        <v/>
      </c>
      <c r="D171" s="10"/>
      <c r="E171" s="10"/>
      <c r="F171" s="28"/>
      <c r="G171" s="29"/>
      <c r="H171" s="42" t="str">
        <f t="shared" si="6"/>
        <v/>
      </c>
      <c r="I171" s="14"/>
      <c r="J171" s="14"/>
    </row>
    <row r="172" spans="1:10" outlineLevel="1">
      <c r="A172" s="27"/>
      <c r="B172" s="10"/>
      <c r="C172" s="41" t="str">
        <f t="shared" si="5"/>
        <v/>
      </c>
      <c r="D172" s="10"/>
      <c r="E172" s="10"/>
      <c r="F172" s="28"/>
      <c r="G172" s="29"/>
      <c r="H172" s="42" t="str">
        <f t="shared" si="6"/>
        <v/>
      </c>
      <c r="I172" s="14"/>
      <c r="J172" s="14"/>
    </row>
    <row r="173" spans="1:10" outlineLevel="1">
      <c r="A173" s="27"/>
      <c r="B173" s="10"/>
      <c r="C173" s="41" t="str">
        <f t="shared" si="5"/>
        <v/>
      </c>
      <c r="D173" s="10"/>
      <c r="E173" s="10"/>
      <c r="F173" s="28"/>
      <c r="G173" s="29"/>
      <c r="H173" s="42" t="str">
        <f t="shared" si="6"/>
        <v/>
      </c>
      <c r="I173" s="14"/>
      <c r="J173" s="14"/>
    </row>
    <row r="174" spans="1:10" outlineLevel="1">
      <c r="A174" s="27"/>
      <c r="B174" s="10"/>
      <c r="C174" s="41" t="str">
        <f t="shared" si="5"/>
        <v/>
      </c>
      <c r="D174" s="10"/>
      <c r="E174" s="10"/>
      <c r="F174" s="28"/>
      <c r="G174" s="29"/>
      <c r="H174" s="42" t="str">
        <f t="shared" si="6"/>
        <v/>
      </c>
      <c r="I174" s="14"/>
      <c r="J174" s="14"/>
    </row>
    <row r="175" spans="1:10" outlineLevel="1">
      <c r="A175" s="27"/>
      <c r="B175" s="10"/>
      <c r="C175" s="41" t="str">
        <f t="shared" si="5"/>
        <v/>
      </c>
      <c r="D175" s="10"/>
      <c r="E175" s="10"/>
      <c r="F175" s="28"/>
      <c r="G175" s="29"/>
      <c r="H175" s="42" t="str">
        <f t="shared" si="6"/>
        <v/>
      </c>
      <c r="I175" s="14"/>
      <c r="J175" s="14"/>
    </row>
    <row r="176" spans="1:10" outlineLevel="1">
      <c r="A176" s="27"/>
      <c r="B176" s="10"/>
      <c r="C176" s="41" t="str">
        <f t="shared" si="5"/>
        <v/>
      </c>
      <c r="D176" s="10"/>
      <c r="E176" s="10"/>
      <c r="F176" s="28"/>
      <c r="G176" s="29"/>
      <c r="H176" s="42" t="str">
        <f t="shared" si="6"/>
        <v/>
      </c>
      <c r="I176" s="14"/>
      <c r="J176" s="14"/>
    </row>
    <row r="177" spans="1:10" outlineLevel="1">
      <c r="A177" s="27"/>
      <c r="B177" s="10"/>
      <c r="C177" s="41" t="str">
        <f t="shared" si="5"/>
        <v/>
      </c>
      <c r="D177" s="10"/>
      <c r="E177" s="10"/>
      <c r="F177" s="28"/>
      <c r="G177" s="29"/>
      <c r="H177" s="42" t="str">
        <f t="shared" si="6"/>
        <v/>
      </c>
      <c r="I177" s="14"/>
      <c r="J177" s="14"/>
    </row>
    <row r="178" spans="1:10" outlineLevel="1">
      <c r="A178" s="27"/>
      <c r="B178" s="10"/>
      <c r="C178" s="41" t="str">
        <f t="shared" si="5"/>
        <v/>
      </c>
      <c r="D178" s="10"/>
      <c r="E178" s="10"/>
      <c r="F178" s="28"/>
      <c r="G178" s="29"/>
      <c r="H178" s="42" t="str">
        <f t="shared" si="6"/>
        <v/>
      </c>
      <c r="I178" s="14"/>
      <c r="J178" s="14"/>
    </row>
    <row r="179" spans="1:10" outlineLevel="1">
      <c r="A179" s="27"/>
      <c r="B179" s="10"/>
      <c r="C179" s="41" t="str">
        <f t="shared" si="5"/>
        <v/>
      </c>
      <c r="D179" s="10"/>
      <c r="E179" s="10"/>
      <c r="F179" s="28"/>
      <c r="G179" s="29"/>
      <c r="H179" s="42" t="str">
        <f t="shared" si="6"/>
        <v/>
      </c>
      <c r="I179" s="14"/>
      <c r="J179" s="14"/>
    </row>
    <row r="180" spans="1:10" outlineLevel="1">
      <c r="A180" s="27"/>
      <c r="B180" s="10"/>
      <c r="C180" s="41" t="str">
        <f t="shared" si="5"/>
        <v/>
      </c>
      <c r="D180" s="10"/>
      <c r="E180" s="10"/>
      <c r="F180" s="28"/>
      <c r="G180" s="29"/>
      <c r="H180" s="42" t="str">
        <f t="shared" si="6"/>
        <v/>
      </c>
      <c r="I180" s="14"/>
      <c r="J180" s="14"/>
    </row>
    <row r="181" spans="1:10" outlineLevel="1">
      <c r="A181" s="27"/>
      <c r="B181" s="10"/>
      <c r="C181" s="41" t="str">
        <f t="shared" si="5"/>
        <v/>
      </c>
      <c r="D181" s="10"/>
      <c r="E181" s="10"/>
      <c r="F181" s="28"/>
      <c r="G181" s="29"/>
      <c r="H181" s="42" t="str">
        <f t="shared" si="6"/>
        <v/>
      </c>
      <c r="I181" s="14"/>
      <c r="J181" s="14"/>
    </row>
    <row r="182" spans="1:10" outlineLevel="1">
      <c r="A182" s="27"/>
      <c r="B182" s="10"/>
      <c r="C182" s="41" t="str">
        <f t="shared" si="5"/>
        <v/>
      </c>
      <c r="D182" s="10"/>
      <c r="E182" s="10"/>
      <c r="F182" s="28"/>
      <c r="G182" s="29"/>
      <c r="H182" s="42" t="str">
        <f t="shared" si="6"/>
        <v/>
      </c>
      <c r="I182" s="14"/>
      <c r="J182" s="14"/>
    </row>
    <row r="183" spans="1:10" outlineLevel="1">
      <c r="A183" s="27"/>
      <c r="B183" s="10"/>
      <c r="C183" s="41" t="str">
        <f t="shared" si="5"/>
        <v/>
      </c>
      <c r="D183" s="10"/>
      <c r="E183" s="10"/>
      <c r="F183" s="28"/>
      <c r="G183" s="29"/>
      <c r="H183" s="42" t="str">
        <f t="shared" si="6"/>
        <v/>
      </c>
      <c r="I183" s="14"/>
      <c r="J183" s="14"/>
    </row>
    <row r="184" spans="1:10" outlineLevel="1">
      <c r="A184" s="27"/>
      <c r="B184" s="10"/>
      <c r="C184" s="41" t="str">
        <f t="shared" si="5"/>
        <v/>
      </c>
      <c r="D184" s="10"/>
      <c r="E184" s="10"/>
      <c r="F184" s="28"/>
      <c r="G184" s="29"/>
      <c r="H184" s="42" t="str">
        <f t="shared" si="6"/>
        <v/>
      </c>
      <c r="I184" s="14"/>
      <c r="J184" s="14"/>
    </row>
    <row r="185" spans="1:10" outlineLevel="1">
      <c r="A185" s="32"/>
      <c r="B185" s="14"/>
      <c r="C185" s="41" t="str">
        <f t="shared" si="5"/>
        <v/>
      </c>
      <c r="D185" s="14"/>
      <c r="E185" s="14"/>
      <c r="F185" s="28"/>
      <c r="G185" s="14"/>
      <c r="H185" s="42" t="str">
        <f t="shared" si="6"/>
        <v/>
      </c>
      <c r="I185" s="14"/>
      <c r="J185" s="14"/>
    </row>
    <row r="186" spans="1:10" outlineLevel="1">
      <c r="A186" s="32"/>
      <c r="B186" s="14"/>
      <c r="C186" s="41" t="str">
        <f t="shared" si="5"/>
        <v/>
      </c>
      <c r="D186" s="14"/>
      <c r="E186" s="14"/>
      <c r="F186" s="28"/>
      <c r="G186" s="14"/>
      <c r="H186" s="42" t="str">
        <f t="shared" si="6"/>
        <v/>
      </c>
      <c r="I186" s="14"/>
      <c r="J186" s="14"/>
    </row>
    <row r="187" spans="1:10" outlineLevel="1">
      <c r="A187" s="27"/>
      <c r="B187" s="12"/>
      <c r="C187" s="41" t="str">
        <f t="shared" si="5"/>
        <v/>
      </c>
      <c r="D187" s="10"/>
      <c r="E187" s="10"/>
      <c r="F187" s="28"/>
      <c r="G187" s="29"/>
      <c r="H187" s="42" t="str">
        <f t="shared" si="6"/>
        <v/>
      </c>
      <c r="I187" s="14"/>
      <c r="J187" s="14"/>
    </row>
    <row r="188" spans="1:10" outlineLevel="1">
      <c r="A188" s="27"/>
      <c r="B188" s="12"/>
      <c r="C188" s="41" t="str">
        <f t="shared" si="5"/>
        <v/>
      </c>
      <c r="D188" s="10"/>
      <c r="E188" s="14"/>
      <c r="F188" s="28"/>
      <c r="G188" s="29"/>
      <c r="H188" s="42" t="str">
        <f t="shared" si="6"/>
        <v/>
      </c>
      <c r="I188" s="14"/>
      <c r="J188" s="14"/>
    </row>
    <row r="189" spans="1:10" outlineLevel="1">
      <c r="A189" s="27"/>
      <c r="B189" s="12"/>
      <c r="C189" s="41" t="str">
        <f t="shared" si="5"/>
        <v/>
      </c>
      <c r="D189" s="10"/>
      <c r="E189" s="14"/>
      <c r="F189" s="28"/>
      <c r="G189" s="29"/>
      <c r="H189" s="42" t="str">
        <f t="shared" si="6"/>
        <v/>
      </c>
      <c r="I189" s="14"/>
      <c r="J189" s="14"/>
    </row>
    <row r="190" spans="1:10" outlineLevel="1">
      <c r="A190" s="27"/>
      <c r="B190" s="13"/>
      <c r="C190" s="41" t="str">
        <f t="shared" si="5"/>
        <v/>
      </c>
      <c r="D190" s="10"/>
      <c r="E190" s="10"/>
      <c r="F190" s="28"/>
      <c r="G190" s="29"/>
      <c r="H190" s="42" t="str">
        <f t="shared" si="6"/>
        <v/>
      </c>
      <c r="I190" s="14"/>
      <c r="J190" s="14"/>
    </row>
    <row r="191" spans="1:10" outlineLevel="1">
      <c r="A191" s="27"/>
      <c r="B191" s="13"/>
      <c r="C191" s="41" t="str">
        <f t="shared" si="5"/>
        <v/>
      </c>
      <c r="D191" s="10"/>
      <c r="E191" s="14"/>
      <c r="F191" s="28"/>
      <c r="G191" s="29"/>
      <c r="H191" s="42" t="str">
        <f t="shared" si="6"/>
        <v/>
      </c>
      <c r="I191" s="14"/>
      <c r="J191" s="14"/>
    </row>
    <row r="192" spans="1:10" outlineLevel="1">
      <c r="A192" s="27"/>
      <c r="B192" s="12"/>
      <c r="C192" s="41" t="str">
        <f t="shared" si="5"/>
        <v/>
      </c>
      <c r="D192" s="10"/>
      <c r="E192" s="10"/>
      <c r="F192" s="28"/>
      <c r="G192" s="29"/>
      <c r="H192" s="42" t="str">
        <f t="shared" si="6"/>
        <v/>
      </c>
      <c r="I192" s="14"/>
      <c r="J192" s="14"/>
    </row>
    <row r="193" spans="1:10" outlineLevel="1">
      <c r="A193" s="27"/>
      <c r="B193" s="12"/>
      <c r="C193" s="41" t="str">
        <f t="shared" si="5"/>
        <v/>
      </c>
      <c r="D193" s="10"/>
      <c r="E193" s="14"/>
      <c r="F193" s="28"/>
      <c r="G193" s="29"/>
      <c r="H193" s="42" t="str">
        <f t="shared" si="6"/>
        <v/>
      </c>
      <c r="I193" s="14"/>
      <c r="J193" s="14"/>
    </row>
    <row r="194" spans="1:10" outlineLevel="1">
      <c r="A194" s="27"/>
      <c r="B194" s="12"/>
      <c r="C194" s="41" t="str">
        <f t="shared" si="5"/>
        <v/>
      </c>
      <c r="D194" s="10"/>
      <c r="E194" s="14"/>
      <c r="F194" s="28"/>
      <c r="G194" s="29"/>
      <c r="H194" s="42" t="str">
        <f t="shared" si="6"/>
        <v/>
      </c>
      <c r="I194" s="14"/>
      <c r="J194" s="14"/>
    </row>
    <row r="195" spans="1:10" outlineLevel="1">
      <c r="A195" s="27"/>
      <c r="B195" s="13"/>
      <c r="C195" s="41" t="str">
        <f t="shared" si="5"/>
        <v/>
      </c>
      <c r="D195" s="10"/>
      <c r="E195" s="10"/>
      <c r="F195" s="28"/>
      <c r="G195" s="29"/>
      <c r="H195" s="42" t="str">
        <f t="shared" si="6"/>
        <v/>
      </c>
      <c r="I195" s="14"/>
      <c r="J195" s="14"/>
    </row>
    <row r="196" spans="1:10" outlineLevel="1">
      <c r="A196" s="27"/>
      <c r="B196" s="13"/>
      <c r="C196" s="41" t="str">
        <f>IF(B196=0,"",MONTH(B196))</f>
        <v/>
      </c>
      <c r="D196" s="10"/>
      <c r="E196" s="14"/>
      <c r="F196" s="28"/>
      <c r="G196" s="29"/>
      <c r="H196" s="42" t="str">
        <f>IF(F196+G196&gt;0,H195+F196-G196,"")</f>
        <v/>
      </c>
      <c r="I196" s="14"/>
      <c r="J196" s="14"/>
    </row>
    <row r="197" spans="1:10" outlineLevel="1">
      <c r="A197" s="27"/>
      <c r="B197" s="13"/>
      <c r="C197" s="41" t="str">
        <f>IF(B197=0,"",MONTH(B197))</f>
        <v/>
      </c>
      <c r="D197" s="10"/>
      <c r="E197" s="10"/>
      <c r="F197" s="28"/>
      <c r="G197" s="29"/>
      <c r="H197" s="42" t="str">
        <f>IF(F197+G197&gt;0,H196+F197-G197,"")</f>
        <v/>
      </c>
      <c r="I197" s="14"/>
      <c r="J197" s="14"/>
    </row>
    <row r="198" spans="1:10" outlineLevel="1">
      <c r="A198" s="27"/>
      <c r="B198" s="13"/>
      <c r="C198" s="41" t="str">
        <f>IF(B198=0,"",MONTH(B198))</f>
        <v/>
      </c>
      <c r="D198" s="10"/>
      <c r="E198" s="10"/>
      <c r="F198" s="28"/>
      <c r="G198" s="29"/>
      <c r="H198" s="42" t="str">
        <f>IF(F198+G198&gt;0,H197+F198-G198,"")</f>
        <v/>
      </c>
      <c r="I198" s="14"/>
      <c r="J198" s="14"/>
    </row>
    <row r="199" spans="1:10" ht="27.75">
      <c r="A199" s="413" t="s">
        <v>138</v>
      </c>
      <c r="B199" s="414"/>
      <c r="C199" s="414"/>
      <c r="D199" s="414"/>
      <c r="E199" s="415"/>
      <c r="F199" s="33">
        <f>SUM(F5:F198)</f>
        <v>0</v>
      </c>
      <c r="G199" s="33">
        <f>SUM(G5:G198)</f>
        <v>0</v>
      </c>
      <c r="H199" s="34">
        <f>F199-G199</f>
        <v>0</v>
      </c>
      <c r="I199" s="35" t="s">
        <v>0</v>
      </c>
      <c r="J199" s="36" t="str">
        <f>IF((F199-G199)=H199,"TRUE","FALSE")</f>
        <v>TRUE</v>
      </c>
    </row>
    <row r="200" spans="1:10">
      <c r="A200" s="44"/>
      <c r="B200" s="43"/>
      <c r="C200" s="43"/>
      <c r="D200" s="43"/>
      <c r="E200" s="43"/>
    </row>
  </sheetData>
  <sheetProtection selectLockedCells="1"/>
  <autoFilter ref="B4:J4"/>
  <mergeCells count="3">
    <mergeCell ref="A1:J1"/>
    <mergeCell ref="A2:J2"/>
    <mergeCell ref="A199:E199"/>
  </mergeCells>
  <pageMargins left="0.34" right="0.21" top="0.25" bottom="0.25" header="0.32" footer="0.3"/>
  <pageSetup paperSize="9" scale="75" orientation="portrait" horizontalDpi="300" verticalDpi="300" r:id="rId1"/>
  <headerFooter>
    <oddHeader>&amp;R&amp;P\&amp;N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workbookViewId="0">
      <pane xSplit="2" ySplit="5" topLeftCell="D13" activePane="bottomRight" state="frozen"/>
      <selection pane="topRight" activeCell="C1" sqref="C1"/>
      <selection pane="bottomLeft" activeCell="A6" sqref="A6"/>
      <selection pane="bottomRight" activeCell="L15" sqref="L15"/>
    </sheetView>
  </sheetViews>
  <sheetFormatPr defaultRowHeight="15" outlineLevelRow="1"/>
  <cols>
    <col min="1" max="1" width="7" customWidth="1"/>
    <col min="2" max="2" width="2.140625" customWidth="1"/>
    <col min="3" max="3" width="52.85546875" customWidth="1"/>
    <col min="4" max="4" width="15" style="23" customWidth="1"/>
    <col min="5" max="9" width="13.28515625" style="23" customWidth="1"/>
    <col min="10" max="10" width="13.28515625" style="24" customWidth="1"/>
    <col min="11" max="11" width="16.85546875" customWidth="1"/>
    <col min="12" max="12" width="10.42578125" customWidth="1"/>
  </cols>
  <sheetData>
    <row r="1" spans="1:12" ht="27.75" customHeight="1">
      <c r="A1" s="420" t="s">
        <v>63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2" ht="36.75" customHeight="1">
      <c r="A2" s="421" t="s">
        <v>64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</row>
    <row r="3" spans="1:12" ht="10.5" customHeight="1">
      <c r="A3" s="1"/>
      <c r="B3" s="1"/>
      <c r="C3" s="1"/>
      <c r="D3" s="21"/>
      <c r="E3" s="21"/>
      <c r="F3" s="21"/>
      <c r="G3" s="21"/>
      <c r="H3" s="21"/>
      <c r="I3" s="21"/>
      <c r="J3" s="21"/>
      <c r="K3" s="1"/>
    </row>
    <row r="4" spans="1:12" ht="15.75" customHeight="1">
      <c r="A4" s="2"/>
      <c r="D4" s="426" t="s">
        <v>65</v>
      </c>
      <c r="E4" s="426"/>
      <c r="F4" s="426"/>
      <c r="G4" s="426"/>
      <c r="H4" s="426"/>
      <c r="I4" s="427"/>
      <c r="J4" s="422" t="s">
        <v>66</v>
      </c>
      <c r="K4" s="424" t="s">
        <v>67</v>
      </c>
      <c r="L4" s="416" t="s">
        <v>68</v>
      </c>
    </row>
    <row r="5" spans="1:12" ht="21.75" customHeight="1">
      <c r="A5" s="17"/>
      <c r="B5" s="18"/>
      <c r="C5" s="16"/>
      <c r="D5" s="22" t="s">
        <v>74</v>
      </c>
      <c r="E5" s="22" t="s">
        <v>69</v>
      </c>
      <c r="F5" s="22" t="s">
        <v>70</v>
      </c>
      <c r="G5" s="22" t="s">
        <v>71</v>
      </c>
      <c r="H5" s="22" t="s">
        <v>72</v>
      </c>
      <c r="I5" s="22" t="s">
        <v>73</v>
      </c>
      <c r="J5" s="423"/>
      <c r="K5" s="425"/>
      <c r="L5" s="417"/>
    </row>
    <row r="6" spans="1:12" ht="21.75" customHeight="1">
      <c r="A6" s="399"/>
      <c r="B6" s="400"/>
      <c r="C6" s="400"/>
      <c r="D6" s="22">
        <v>10</v>
      </c>
      <c r="E6" s="22">
        <v>11</v>
      </c>
      <c r="F6" s="22">
        <v>12</v>
      </c>
      <c r="G6" s="22">
        <v>1</v>
      </c>
      <c r="H6" s="22">
        <v>2</v>
      </c>
      <c r="I6" s="22">
        <v>3</v>
      </c>
      <c r="J6" s="397"/>
      <c r="K6" s="398"/>
      <c r="L6" s="396"/>
    </row>
    <row r="7" spans="1:12" s="8" customFormat="1" ht="21" customHeight="1">
      <c r="A7" s="166" t="s">
        <v>249</v>
      </c>
      <c r="B7" s="166"/>
      <c r="C7" s="166" t="s">
        <v>102</v>
      </c>
      <c r="D7" s="154">
        <f t="shared" ref="D7:I7" si="0">SUM(D8:D13)</f>
        <v>26868900</v>
      </c>
      <c r="E7" s="154">
        <f t="shared" si="0"/>
        <v>301600</v>
      </c>
      <c r="F7" s="154">
        <f t="shared" si="0"/>
        <v>23600</v>
      </c>
      <c r="G7" s="154">
        <f t="shared" si="0"/>
        <v>16500</v>
      </c>
      <c r="H7" s="154">
        <f t="shared" si="0"/>
        <v>0</v>
      </c>
      <c r="I7" s="154">
        <f t="shared" si="0"/>
        <v>9977000</v>
      </c>
      <c r="J7" s="165">
        <f t="shared" ref="J7:J13" si="1">SUM(D7:I7)</f>
        <v>37187600</v>
      </c>
      <c r="K7" s="167">
        <f>SUM(K8:K13)</f>
        <v>60060000</v>
      </c>
      <c r="L7" s="168">
        <f>J7/K7</f>
        <v>0.61917415917415919</v>
      </c>
    </row>
    <row r="8" spans="1:12" s="8" customFormat="1" ht="15.75" customHeight="1">
      <c r="A8" s="169" t="s">
        <v>265</v>
      </c>
      <c r="B8" s="170"/>
      <c r="C8" s="171" t="s">
        <v>75</v>
      </c>
      <c r="D8" s="172">
        <f>SUMIFS('Cashbook '!$E$5:$E$139,'Cashbook '!$H$5:$H$139,A8,'Cashbook '!$B$5:$B$139,10)+SUMIFS('Bank '!$E$5:$E$30,'Bank '!$H$5:$H$30,A8,'Bank '!$B$5:$B$30,10)</f>
        <v>0</v>
      </c>
      <c r="E8" s="172">
        <f>SUMIFS('Cashbook '!$E$5:$E$139,'Cashbook '!$H$5:$H$139,A8,'Cashbook '!$B$5:$B$139,11)+SUMIFS('Bank '!$E$5:$E$30,'Bank '!$H$5:$H$30,A8,'Bank '!$B$5:$B$30,11)</f>
        <v>0</v>
      </c>
      <c r="F8" s="172">
        <f>SUMIFS('Cashbook '!$E$5:$E$139,'Cashbook '!$H$5:$H$139,A8,'Cashbook '!$B$5:$B$139,12)+SUMIFS('Bank '!$E$5:$E$30,'Bank '!$H$5:$H$30,A8,'Bank '!$B$5:$B$30,12)</f>
        <v>0</v>
      </c>
      <c r="G8" s="172">
        <f>SUMIFS('Cashbook '!$E$5:$E$139,'Cashbook '!$H$5:$H$139,A8,'Cashbook '!$B$5:$B$139,1)+SUMIFS('Bank '!$E$5:$E$30,'Bank '!$H$5:$H$30,A8,'Bank '!$B$5:$B$30,1)</f>
        <v>0</v>
      </c>
      <c r="H8" s="172">
        <f>SUMIFS('Cashbook '!$E$5:$E$139,'Cashbook '!$H$5:$H$139,A8,'Cashbook '!$B$5:$B$139,2)+SUMIFS('Bank '!$E$5:$E$30,'Bank '!$H$5:$H$30,A8,'Bank '!$B$5:$B$30,2)</f>
        <v>0</v>
      </c>
      <c r="I8" s="172">
        <f>SUMIFS('Cashbook '!$E$5:$E$139,'Cashbook '!$H$5:$H$139,A8,'Cashbook '!$B$5:$B$139,3)+SUMIFS('Bank '!$E$5:$E$30,'Bank '!$H$5:$H$30,A8,'Bank '!$B$5:$B$30,3)</f>
        <v>9961200</v>
      </c>
      <c r="J8" s="173">
        <f t="shared" si="1"/>
        <v>9961200</v>
      </c>
      <c r="K8" s="174">
        <f>'Budget plan season10'!I11</f>
        <v>33600000</v>
      </c>
      <c r="L8" s="175">
        <f>J8/K8</f>
        <v>0.29646428571428574</v>
      </c>
    </row>
    <row r="9" spans="1:12" s="8" customFormat="1" ht="15.75" customHeight="1">
      <c r="A9" s="169" t="s">
        <v>266</v>
      </c>
      <c r="B9" s="170"/>
      <c r="C9" s="171" t="s">
        <v>76</v>
      </c>
      <c r="D9" s="172">
        <f>SUMIFS('Cashbook '!$E$5:$E$139,'Cashbook '!$H$5:$H$139,A9,'Cashbook '!$B$5:$B$139,10)+SUMIFS('Bank '!$E$5:$E$30,'Bank '!$H$5:$H$30,A9,'Bank '!$B$5:$B$30,10)</f>
        <v>0</v>
      </c>
      <c r="E9" s="172">
        <f>SUMIFS('Cashbook '!$E$5:$E$139,'Cashbook '!$H$5:$H$139,A9,'Cashbook '!$B$5:$B$139,11)+SUMIFS('Bank '!$E$5:$E$30,'Bank '!$H$5:$H$30,A9,'Bank '!$B$5:$B$30,11)</f>
        <v>0</v>
      </c>
      <c r="F9" s="172">
        <f>SUMIFS('Cashbook '!$E$5:$E$139,'Cashbook '!$H$5:$H$139,A9,'Cashbook '!$B$5:$B$139,12)+SUMIFS('Bank '!$E$5:$E$30,'Bank '!$H$5:$H$30,A9,'Bank '!$B$5:$B$30,12)</f>
        <v>0</v>
      </c>
      <c r="G9" s="172">
        <f>SUMIFS('Cashbook '!$E$5:$E$139,'Cashbook '!$H$5:$H$139,A9,'Cashbook '!$B$5:$B$139,1)+SUMIFS('Bank '!$E$5:$E$30,'Bank '!$H$5:$H$30,A9,'Bank '!$B$5:$B$30,1)</f>
        <v>0</v>
      </c>
      <c r="H9" s="172">
        <f>SUMIFS('Cashbook '!$E$5:$E$139,'Cashbook '!$H$5:$H$139,A9,'Cashbook '!$B$5:$B$139,2)+SUMIFS('Bank '!$E$5:$E$30,'Bank '!$H$5:$H$30,A9,'Bank '!$B$5:$B$30,2)</f>
        <v>0</v>
      </c>
      <c r="I9" s="172">
        <f>SUMIFS('Cashbook '!$E$5:$E$139,'Cashbook '!$H$5:$H$139,A9,'Cashbook '!$B$5:$B$139,3)+SUMIFS('Bank '!$E$5:$E$30,'Bank '!$H$5:$H$30,A9,'Bank '!$B$5:$B$30,3)</f>
        <v>0</v>
      </c>
      <c r="J9" s="173">
        <f t="shared" si="1"/>
        <v>0</v>
      </c>
      <c r="K9" s="174"/>
      <c r="L9" s="176"/>
    </row>
    <row r="10" spans="1:12" s="8" customFormat="1" ht="15.75" customHeight="1">
      <c r="A10" s="169" t="s">
        <v>267</v>
      </c>
      <c r="B10" s="170"/>
      <c r="C10" s="171" t="s">
        <v>77</v>
      </c>
      <c r="D10" s="172">
        <f>SUMIFS('Cashbook '!$E$5:$E$139,'Cashbook '!$H$5:$H$139,A10,'Cashbook '!$B$5:$B$139,10)+SUMIFS('Bank '!$E$5:$E$30,'Bank '!$H$5:$H$30,A10,'Bank '!$B$5:$B$30,10)</f>
        <v>0</v>
      </c>
      <c r="E10" s="172">
        <f>SUMIFS('Cashbook '!$E$5:$E$139,'Cashbook '!$H$5:$H$139,A10,'Cashbook '!$B$5:$B$139,11)+SUMIFS('Bank '!$E$5:$E$30,'Bank '!$H$5:$H$30,A10,'Bank '!$B$5:$B$30,11)</f>
        <v>0</v>
      </c>
      <c r="F10" s="172">
        <f>SUMIFS('Cashbook '!$E$5:$E$139,'Cashbook '!$H$5:$H$139,A10,'Cashbook '!$B$5:$B$139,12)+SUMIFS('Bank '!$E$5:$E$30,'Bank '!$H$5:$H$30,A10,'Bank '!$B$5:$B$30,12)</f>
        <v>0</v>
      </c>
      <c r="G10" s="172">
        <f>SUMIFS('Cashbook '!$E$5:$E$139,'Cashbook '!$H$5:$H$139,A10,'Cashbook '!$B$5:$B$139,1)+SUMIFS('Bank '!$E$5:$E$30,'Bank '!$H$5:$H$30,A10,'Bank '!$B$5:$B$30,1)</f>
        <v>0</v>
      </c>
      <c r="H10" s="172">
        <f>SUMIFS('Cashbook '!$E$5:$E$139,'Cashbook '!$H$5:$H$139,A10,'Cashbook '!$B$5:$B$139,2)+SUMIFS('Bank '!$E$5:$E$30,'Bank '!$H$5:$H$30,A10,'Bank '!$B$5:$B$30,2)</f>
        <v>0</v>
      </c>
      <c r="I10" s="172">
        <f>SUMIFS('Cashbook '!$E$5:$E$139,'Cashbook '!$H$5:$H$139,A10,'Cashbook '!$B$5:$B$139,3)+SUMIFS('Bank '!$E$5:$E$30,'Bank '!$H$5:$H$30,A10,'Bank '!$B$5:$B$30,3)</f>
        <v>0</v>
      </c>
      <c r="J10" s="173">
        <f t="shared" si="1"/>
        <v>0</v>
      </c>
      <c r="K10" s="174"/>
      <c r="L10" s="176"/>
    </row>
    <row r="11" spans="1:12" s="8" customFormat="1" ht="15.75" customHeight="1">
      <c r="A11" s="169" t="s">
        <v>268</v>
      </c>
      <c r="B11" s="170"/>
      <c r="C11" s="171" t="s">
        <v>78</v>
      </c>
      <c r="D11" s="172">
        <f>SUMIFS('Cashbook '!$E$5:$E$139,'Cashbook '!$H$5:$H$139,A11,'Cashbook '!$B$5:$B$139,10)+SUMIFS('Bank '!$E$5:$E$30,'Bank '!$H$5:$H$30,A11,'Bank '!$B$5:$B$30,10)</f>
        <v>26863200</v>
      </c>
      <c r="E11" s="172">
        <f>SUMIFS('Cashbook '!$E$5:$E$139,'Cashbook '!$H$5:$H$139,A11,'Cashbook '!$B$5:$B$139,11)+SUMIFS('Bank '!$E$5:$E$30,'Bank '!$H$5:$H$30,A11,'Bank '!$B$5:$B$30,11)</f>
        <v>0</v>
      </c>
      <c r="F11" s="172">
        <f>SUMIFS('Cashbook '!$E$5:$E$139,'Cashbook '!$H$5:$H$139,A11,'Cashbook '!$B$5:$B$139,12)+SUMIFS('Bank '!$E$5:$E$30,'Bank '!$H$5:$H$30,A11,'Bank '!$B$5:$B$30,12)</f>
        <v>0</v>
      </c>
      <c r="G11" s="172">
        <f>SUMIFS('Cashbook '!$E$5:$E$139,'Cashbook '!$H$5:$H$139,A11,'Cashbook '!$B$5:$B$139,1)+SUMIFS('Bank '!$E$5:$E$30,'Bank '!$H$5:$H$30,A11,'Bank '!$B$5:$B$30,1)</f>
        <v>0</v>
      </c>
      <c r="H11" s="172">
        <f>SUMIFS('Cashbook '!$E$5:$E$139,'Cashbook '!$H$5:$H$139,A11,'Cashbook '!$B$5:$B$139,2)+SUMIFS('Bank '!$E$5:$E$30,'Bank '!$H$5:$H$30,A11,'Bank '!$B$5:$B$30,2)</f>
        <v>0</v>
      </c>
      <c r="I11" s="172">
        <f>SUMIFS('Cashbook '!$E$5:$E$139,'Cashbook '!$H$5:$H$139,A11,'Cashbook '!$B$5:$B$139,3)+SUMIFS('Bank '!$E$5:$E$30,'Bank '!$H$5:$H$30,A11,'Bank '!$B$5:$B$30,3)</f>
        <v>0</v>
      </c>
      <c r="J11" s="173">
        <f t="shared" si="1"/>
        <v>26863200</v>
      </c>
      <c r="K11" s="174">
        <f>'Budget plan season10'!I14</f>
        <v>26460000</v>
      </c>
      <c r="L11" s="175">
        <f>J11/K11</f>
        <v>1.0152380952380953</v>
      </c>
    </row>
    <row r="12" spans="1:12" s="8" customFormat="1" ht="15.75" customHeight="1">
      <c r="A12" s="169" t="s">
        <v>269</v>
      </c>
      <c r="B12" s="170"/>
      <c r="C12" s="177" t="s">
        <v>79</v>
      </c>
      <c r="D12" s="172">
        <f>SUMIFS('Cashbook '!$E$5:$E$139,'Cashbook '!$H$5:$H$139,A12,'Cashbook '!$B$5:$B$139,10)+SUMIFS('Bank '!$E$5:$E$30,'Bank '!$H$5:$H$30,A12,'Bank '!$B$5:$B$30,10)</f>
        <v>5700</v>
      </c>
      <c r="E12" s="172">
        <f>SUMIFS('Cashbook '!$E$5:$E$139,'Cashbook '!$H$5:$H$139,A12,'Cashbook '!$B$5:$B$139,11)+SUMIFS('Bank '!$E$5:$E$30,'Bank '!$H$5:$H$30,A12,'Bank '!$B$5:$B$30,11)</f>
        <v>301600</v>
      </c>
      <c r="F12" s="172">
        <f>SUMIFS('Cashbook '!$E$5:$E$139,'Cashbook '!$H$5:$H$139,A12,'Cashbook '!$B$5:$B$139,12)+SUMIFS('Bank '!$E$5:$E$30,'Bank '!$H$5:$H$30,A12,'Bank '!$B$5:$B$30,12)</f>
        <v>23600</v>
      </c>
      <c r="G12" s="172">
        <f>SUMIFS('Cashbook '!$E$5:$E$139,'Cashbook '!$H$5:$H$139,A12,'Cashbook '!$B$5:$B$139,1)+SUMIFS('Bank '!$E$5:$E$30,'Bank '!$H$5:$H$30,A12,'Bank '!$B$5:$B$30,1)</f>
        <v>16500</v>
      </c>
      <c r="H12" s="172">
        <f>SUMIFS('Cashbook '!$E$5:$E$139,'Cashbook '!$H$5:$H$139,A12,'Cashbook '!$B$5:$B$139,2)+SUMIFS('Bank '!$E$5:$E$30,'Bank '!$H$5:$H$30,A12,'Bank '!$B$5:$B$30,2)</f>
        <v>0</v>
      </c>
      <c r="I12" s="172">
        <f>SUMIFS('Cashbook '!$E$5:$E$139,'Cashbook '!$H$5:$H$139,A12,'Cashbook '!$B$5:$B$139,3)+SUMIFS('Bank '!$E$5:$E$30,'Bank '!$H$5:$H$30,A12,'Bank '!$B$5:$B$30,3)</f>
        <v>15800</v>
      </c>
      <c r="J12" s="173">
        <f t="shared" si="1"/>
        <v>363200</v>
      </c>
      <c r="K12" s="174"/>
      <c r="L12" s="176"/>
    </row>
    <row r="13" spans="1:12" s="8" customFormat="1" ht="15.75" customHeight="1">
      <c r="A13" s="169" t="s">
        <v>270</v>
      </c>
      <c r="B13" s="170"/>
      <c r="C13" s="171" t="s">
        <v>80</v>
      </c>
      <c r="D13" s="172">
        <f>SUMIFS('Cashbook '!$E$5:$E$139,'Cashbook '!$H$5:$H$139,A13,'Cashbook '!$B$5:$B$139,10)+SUMIFS('Bank '!$E$5:$E$30,'Bank '!$H$5:$H$30,A13,'Bank '!$B$5:$B$30,10)</f>
        <v>0</v>
      </c>
      <c r="E13" s="172">
        <f>SUMIFS('Cashbook '!$E$5:$E$139,'Cashbook '!$H$5:$H$139,A13,'Cashbook '!$B$5:$B$139,11)+SUMIFS('Bank '!$E$5:$E$30,'Bank '!$H$5:$H$30,A13,'Bank '!$B$5:$B$30,11)</f>
        <v>0</v>
      </c>
      <c r="F13" s="172">
        <f>SUMIFS('Cashbook '!$E$5:$E$139,'Cashbook '!$H$5:$H$139,A13,'Cashbook '!$B$5:$B$139,12)+SUMIFS('Bank '!$E$5:$E$30,'Bank '!$H$5:$H$30,A13,'Bank '!$B$5:$B$30,12)</f>
        <v>0</v>
      </c>
      <c r="G13" s="172">
        <f>SUMIFS('Cashbook '!$E$5:$E$139,'Cashbook '!$H$5:$H$139,A13,'Cashbook '!$B$5:$B$139,1)+SUMIFS('Bank '!$E$5:$E$30,'Bank '!$H$5:$H$30,A13,'Bank '!$B$5:$B$30,1)</f>
        <v>0</v>
      </c>
      <c r="H13" s="172">
        <f>SUMIFS('Cashbook '!$E$5:$E$139,'Cashbook '!$H$5:$H$139,A13,'Cashbook '!$B$5:$B$139,2)+SUMIFS('Bank '!$E$5:$E$30,'Bank '!$H$5:$H$30,A13,'Bank '!$B$5:$B$30,2)</f>
        <v>0</v>
      </c>
      <c r="I13" s="172">
        <f>SUMIFS('Cashbook '!$E$5:$E$139,'Cashbook '!$H$5:$H$139,A13,'Cashbook '!$B$5:$B$139,3)+SUMIFS('Bank '!$E$5:$E$30,'Bank '!$H$5:$H$30,A13,'Bank '!$B$5:$B$30,3)</f>
        <v>0</v>
      </c>
      <c r="J13" s="173">
        <f t="shared" si="1"/>
        <v>0</v>
      </c>
      <c r="K13" s="174"/>
      <c r="L13" s="176"/>
    </row>
    <row r="14" spans="1:12" s="8" customFormat="1" ht="21" customHeight="1">
      <c r="A14" s="156" t="s">
        <v>250</v>
      </c>
      <c r="B14" s="156"/>
      <c r="C14" s="156" t="s">
        <v>103</v>
      </c>
      <c r="D14" s="155">
        <f t="shared" ref="D14:I14" si="2">D15+D23+D27+D31+D40+D37</f>
        <v>138000</v>
      </c>
      <c r="E14" s="155">
        <f t="shared" si="2"/>
        <v>2187200</v>
      </c>
      <c r="F14" s="155">
        <f t="shared" si="2"/>
        <v>5375300</v>
      </c>
      <c r="G14" s="155">
        <f t="shared" si="2"/>
        <v>6013300</v>
      </c>
      <c r="H14" s="155">
        <f t="shared" si="2"/>
        <v>1508800</v>
      </c>
      <c r="I14" s="155">
        <f t="shared" si="2"/>
        <v>1257400</v>
      </c>
      <c r="J14" s="155">
        <f>J15+J23+J27+J31+J40+J37</f>
        <v>16480000</v>
      </c>
      <c r="K14" s="157">
        <f>K15+K23+K27+K31+K40</f>
        <v>24590000</v>
      </c>
      <c r="L14" s="158">
        <f>J14/K14</f>
        <v>0.67019113460756408</v>
      </c>
    </row>
    <row r="15" spans="1:12" ht="15.75" customHeight="1">
      <c r="A15" s="159" t="s">
        <v>271</v>
      </c>
      <c r="B15" s="160" t="s">
        <v>104</v>
      </c>
      <c r="C15" s="161"/>
      <c r="D15" s="162">
        <f t="shared" ref="D15:I15" si="3">SUM(D16:D22)</f>
        <v>40000</v>
      </c>
      <c r="E15" s="162">
        <f t="shared" si="3"/>
        <v>0</v>
      </c>
      <c r="F15" s="162">
        <f t="shared" si="3"/>
        <v>0</v>
      </c>
      <c r="G15" s="162">
        <f t="shared" si="3"/>
        <v>0</v>
      </c>
      <c r="H15" s="162">
        <f t="shared" si="3"/>
        <v>1190000</v>
      </c>
      <c r="I15" s="162">
        <f t="shared" si="3"/>
        <v>30000</v>
      </c>
      <c r="J15" s="162">
        <f t="shared" ref="J15:J40" si="4">SUM(D15:I15)</f>
        <v>1260000</v>
      </c>
      <c r="K15" s="163">
        <f>SUM(K16:K22)</f>
        <v>1390000</v>
      </c>
      <c r="L15" s="164">
        <f>J15/K15</f>
        <v>0.90647482014388492</v>
      </c>
    </row>
    <row r="16" spans="1:12" ht="15.75" customHeight="1" outlineLevel="1">
      <c r="A16" s="142" t="s">
        <v>272</v>
      </c>
      <c r="B16" s="3"/>
      <c r="C16" s="50" t="s">
        <v>81</v>
      </c>
      <c r="D16" s="20">
        <f>SUMIFS('Cashbook '!$F$5:$F$139,'Cashbook '!$H$5:$H$139,A16,'Cashbook '!$B$5:$B$139,10)+SUMIFS('Bank '!$F$5:$F$30,'Bank '!$H$5:$H$30,A16,'Bank '!$B$5:$B$30,10)+SUMIFS(CashAdvance!$G$5:$G$198,CashAdvance!$I$5:$I$198,A16,CashAdvance!$C$5:$C$198,10)</f>
        <v>0</v>
      </c>
      <c r="E16" s="20">
        <f>SUMIFS('Cashbook '!$F$5:$F$139,'Cashbook '!$H$5:$H$139,A16,'Cashbook '!$B$5:$B$139,11)+SUMIFS('Bank '!$F$5:$F$30,'Bank '!$H$5:$H$30,A16,'Bank '!$B$5:$B$30,11)+SUMIFS(CashAdvance!$G$5:$G$198,CashAdvance!$I$5:$I$198,A16,CashAdvance!$C$5:$C$198,11)</f>
        <v>0</v>
      </c>
      <c r="F16" s="20">
        <f>SUMIFS('Cashbook '!$F$5:$F$139,'Cashbook '!$H$5:$H$139,A16,'Cashbook '!$B$5:$B$139,12)+SUMIFS('Bank '!$F$5:$F$30,'Bank '!$H$5:$H$30,A16,'Bank '!$B$5:$B$30,12)+SUMIFS(CashAdvance!$G$5:$G$198,CashAdvance!$I$5:$I$198,A16,CashAdvance!$C$5:$C$198,12)</f>
        <v>0</v>
      </c>
      <c r="G16" s="20">
        <f>SUMIFS('Cashbook '!$F$5:$F$139,'Cashbook '!$H$5:$H$139,A16,'Cashbook '!$B$5:$B$139,1)+SUMIFS('Bank '!$F$5:$F$30,'Bank '!$H$5:$H$30,A16,'Bank '!$B$5:$B$30,1)+SUMIFS(CashAdvance!$G$5:$G$198,CashAdvance!$I$5:$I$198,A16,CashAdvance!$C$5:$C$198,1)</f>
        <v>0</v>
      </c>
      <c r="H16" s="20">
        <f>SUMIFS('Cashbook '!$F$5:$F$139,'Cashbook '!$H$5:$H$139,A16,'Cashbook '!$B$5:$B$139,2)+SUMIFS('Bank '!$F$5:$F$30,'Bank '!$H$5:$H$30,A16,'Bank '!$B$5:$B$30,2)+SUMIFS(CashAdvance!$G$5:$G$198,CashAdvance!$I$5:$I$198,A16,CashAdvance!$C$5:$C$198,2)</f>
        <v>140000</v>
      </c>
      <c r="I16" s="20">
        <f>SUMIFS('Cashbook '!$F$5:$F$139,'Cashbook '!$H$5:$H$139,A16,'Cashbook '!$B$5:$B$139,3)+SUMIFS('Bank '!$F$5:$F$30,'Bank '!$H$5:$H$30,A16,'Bank '!$B$5:$B$30,3)+SUMIFS(CashAdvance!$G$5:$G$198,CashAdvance!$I$5:$I$198,A16,CashAdvance!$C$5:$C$198,3)</f>
        <v>0</v>
      </c>
      <c r="J16" s="20">
        <f t="shared" si="4"/>
        <v>140000</v>
      </c>
      <c r="K16" s="4">
        <v>140000</v>
      </c>
      <c r="L16" s="7">
        <f>J16/K16</f>
        <v>1</v>
      </c>
    </row>
    <row r="17" spans="1:12" ht="15.75" customHeight="1" outlineLevel="1">
      <c r="A17" s="142" t="s">
        <v>273</v>
      </c>
      <c r="B17" s="3"/>
      <c r="C17" s="50" t="s">
        <v>82</v>
      </c>
      <c r="D17" s="20">
        <f>SUMIFS('Cashbook '!$F$5:$F$139,'Cashbook '!$H$5:$H$139,A17,'Cashbook '!$B$5:$B$139,10)+SUMIFS('Bank '!$F$5:$F$30,'Bank '!$H$5:$H$30,A17,'Bank '!$B$5:$B$30,10)+SUMIFS(CashAdvance!$G$5:$G$198,CashAdvance!$I$5:$I$198,A17,CashAdvance!$C$5:$C$198,10)</f>
        <v>0</v>
      </c>
      <c r="E17" s="20">
        <f>SUMIFS('Cashbook '!$F$5:$F$139,'Cashbook '!$H$5:$H$139,A17,'Cashbook '!$B$5:$B$139,11)+SUMIFS('Bank '!$F$5:$F$30,'Bank '!$H$5:$H$30,A17,'Bank '!$B$5:$B$30,11)+SUMIFS(CashAdvance!$G$5:$G$198,CashAdvance!$I$5:$I$198,A17,CashAdvance!$C$5:$C$198,11)</f>
        <v>0</v>
      </c>
      <c r="F17" s="20">
        <f>SUMIFS('Cashbook '!$F$5:$F$139,'Cashbook '!$H$5:$H$139,A17,'Cashbook '!$B$5:$B$139,12)+SUMIFS('Bank '!$F$5:$F$30,'Bank '!$H$5:$H$30,A17,'Bank '!$B$5:$B$30,12)+SUMIFS(CashAdvance!$G$5:$G$198,CashAdvance!$I$5:$I$198,A17,CashAdvance!$C$5:$C$198,12)</f>
        <v>0</v>
      </c>
      <c r="G17" s="20">
        <f>SUMIFS('Cashbook '!$F$5:$F$139,'Cashbook '!$H$5:$H$139,A17,'Cashbook '!$B$5:$B$139,1)+SUMIFS('Bank '!$F$5:$F$30,'Bank '!$H$5:$H$30,A17,'Bank '!$B$5:$B$30,1)+SUMIFS(CashAdvance!$G$5:$G$198,CashAdvance!$I$5:$I$198,A17,CashAdvance!$C$5:$C$198,1)</f>
        <v>0</v>
      </c>
      <c r="H17" s="20">
        <f>SUMIFS('Cashbook '!$F$5:$F$139,'Cashbook '!$H$5:$H$139,A17,'Cashbook '!$B$5:$B$139,2)+SUMIFS('Bank '!$F$5:$F$30,'Bank '!$H$5:$H$30,A17,'Bank '!$B$5:$B$30,2)+SUMIFS(CashAdvance!$G$5:$G$198,CashAdvance!$I$5:$I$198,A17,CashAdvance!$C$5:$C$198,2)</f>
        <v>390000</v>
      </c>
      <c r="I17" s="20">
        <f>SUMIFS('Cashbook '!$F$5:$F$139,'Cashbook '!$H$5:$H$139,A17,'Cashbook '!$B$5:$B$139,3)+SUMIFS('Bank '!$F$5:$F$30,'Bank '!$H$5:$H$30,A17,'Bank '!$B$5:$B$30,3)+SUMIFS(CashAdvance!$G$5:$G$198,CashAdvance!$I$5:$I$198,A17,CashAdvance!$C$5:$C$198,3)</f>
        <v>0</v>
      </c>
      <c r="J17" s="20">
        <f t="shared" si="4"/>
        <v>390000</v>
      </c>
      <c r="K17" s="4">
        <v>360000</v>
      </c>
      <c r="L17" s="7">
        <f t="shared" ref="L17:L25" si="5">J17/K17</f>
        <v>1.0833333333333333</v>
      </c>
    </row>
    <row r="18" spans="1:12" ht="15.75" customHeight="1" outlineLevel="1">
      <c r="A18" s="142" t="s">
        <v>274</v>
      </c>
      <c r="B18" s="3"/>
      <c r="C18" s="50" t="s">
        <v>382</v>
      </c>
      <c r="D18" s="20">
        <f>SUMIFS('Cashbook '!$F$5:$F$139,'Cashbook '!$H$5:$H$139,A18,'Cashbook '!$B$5:$B$139,10)+SUMIFS('Bank '!$F$5:$F$30,'Bank '!$H$5:$H$30,A18,'Bank '!$B$5:$B$30,10)+SUMIFS(CashAdvance!$G$5:$G$198,CashAdvance!$I$5:$I$198,A18,CashAdvance!$C$5:$C$198,10)</f>
        <v>0</v>
      </c>
      <c r="E18" s="20">
        <f>SUMIFS('Cashbook '!$F$5:$F$139,'Cashbook '!$H$5:$H$139,A18,'Cashbook '!$B$5:$B$139,11)+SUMIFS('Bank '!$F$5:$F$30,'Bank '!$H$5:$H$30,A18,'Bank '!$B$5:$B$30,11)+SUMIFS(CashAdvance!$G$5:$G$198,CashAdvance!$I$5:$I$198,A18,CashAdvance!$C$5:$C$198,11)</f>
        <v>0</v>
      </c>
      <c r="F18" s="20">
        <f>SUMIFS('Cashbook '!$F$5:$F$139,'Cashbook '!$H$5:$H$139,A18,'Cashbook '!$B$5:$B$139,12)+SUMIFS('Bank '!$F$5:$F$30,'Bank '!$H$5:$H$30,A18,'Bank '!$B$5:$B$30,12)+SUMIFS(CashAdvance!$G$5:$G$198,CashAdvance!$I$5:$I$198,A18,CashAdvance!$C$5:$C$198,12)</f>
        <v>0</v>
      </c>
      <c r="G18" s="20">
        <f>SUMIFS('Cashbook '!$F$5:$F$139,'Cashbook '!$H$5:$H$139,A18,'Cashbook '!$B$5:$B$139,1)+SUMIFS('Bank '!$F$5:$F$30,'Bank '!$H$5:$H$30,A18,'Bank '!$B$5:$B$30,1)+SUMIFS(CashAdvance!$G$5:$G$198,CashAdvance!$I$5:$I$198,A18,CashAdvance!$C$5:$C$198,1)</f>
        <v>0</v>
      </c>
      <c r="H18" s="20">
        <f>SUMIFS('Cashbook '!$F$5:$F$139,'Cashbook '!$H$5:$H$139,A18,'Cashbook '!$B$5:$B$139,2)+SUMIFS('Bank '!$F$5:$F$30,'Bank '!$H$5:$H$30,A18,'Bank '!$B$5:$B$30,2)+SUMIFS(CashAdvance!$G$5:$G$198,CashAdvance!$I$5:$I$198,A18,CashAdvance!$C$5:$C$198,2)</f>
        <v>300000</v>
      </c>
      <c r="I18" s="20">
        <f>SUMIFS('Cashbook '!$F$5:$F$139,'Cashbook '!$H$5:$H$139,A18,'Cashbook '!$B$5:$B$139,3)+SUMIFS('Bank '!$F$5:$F$30,'Bank '!$H$5:$H$30,A18,'Bank '!$B$5:$B$30,3)+SUMIFS(CashAdvance!$G$5:$G$198,CashAdvance!$I$5:$I$198,A18,CashAdvance!$C$5:$C$198,3)</f>
        <v>0</v>
      </c>
      <c r="J18" s="20">
        <f t="shared" si="4"/>
        <v>300000</v>
      </c>
      <c r="K18" s="4">
        <v>400000</v>
      </c>
      <c r="L18" s="7">
        <f t="shared" si="5"/>
        <v>0.75</v>
      </c>
    </row>
    <row r="19" spans="1:12" ht="15.75" customHeight="1" outlineLevel="1">
      <c r="A19" s="142" t="s">
        <v>275</v>
      </c>
      <c r="B19" s="3"/>
      <c r="C19" s="50" t="s">
        <v>83</v>
      </c>
      <c r="D19" s="20">
        <f>SUMIFS('Cashbook '!$F$5:$F$139,'Cashbook '!$H$5:$H$139,A19,'Cashbook '!$B$5:$B$139,10)+SUMIFS('Bank '!$F$5:$F$30,'Bank '!$H$5:$H$30,A19,'Bank '!$B$5:$B$30,10)+SUMIFS(CashAdvance!$G$5:$G$198,CashAdvance!$I$5:$I$198,A19,CashAdvance!$C$5:$C$198,10)</f>
        <v>0</v>
      </c>
      <c r="E19" s="20">
        <f>SUMIFS('Cashbook '!$F$5:$F$139,'Cashbook '!$H$5:$H$139,A19,'Cashbook '!$B$5:$B$139,11)+SUMIFS('Bank '!$F$5:$F$30,'Bank '!$H$5:$H$30,A19,'Bank '!$B$5:$B$30,11)+SUMIFS(CashAdvance!$G$5:$G$198,CashAdvance!$I$5:$I$198,A19,CashAdvance!$C$5:$C$198,11)</f>
        <v>0</v>
      </c>
      <c r="F19" s="20">
        <f>SUMIFS('Cashbook '!$F$5:$F$139,'Cashbook '!$H$5:$H$139,A19,'Cashbook '!$B$5:$B$139,12)+SUMIFS('Bank '!$F$5:$F$30,'Bank '!$H$5:$H$30,A19,'Bank '!$B$5:$B$30,12)+SUMIFS(CashAdvance!$G$5:$G$198,CashAdvance!$I$5:$I$198,A19,CashAdvance!$C$5:$C$198,12)</f>
        <v>0</v>
      </c>
      <c r="G19" s="20">
        <f>SUMIFS('Cashbook '!$F$5:$F$139,'Cashbook '!$H$5:$H$139,A19,'Cashbook '!$B$5:$B$139,1)+SUMIFS('Bank '!$F$5:$F$30,'Bank '!$H$5:$H$30,A19,'Bank '!$B$5:$B$30,1)+SUMIFS(CashAdvance!$G$5:$G$198,CashAdvance!$I$5:$I$198,A19,CashAdvance!$C$5:$C$198,1)</f>
        <v>0</v>
      </c>
      <c r="H19" s="20">
        <f>SUMIFS('Cashbook '!$F$5:$F$139,'Cashbook '!$H$5:$H$139,A19,'Cashbook '!$B$5:$B$139,2)+SUMIFS('Bank '!$F$5:$F$30,'Bank '!$H$5:$H$30,A19,'Bank '!$B$5:$B$30,2)+SUMIFS(CashAdvance!$G$5:$G$198,CashAdvance!$I$5:$I$198,A19,CashAdvance!$C$5:$C$198,2)</f>
        <v>300000</v>
      </c>
      <c r="I19" s="20">
        <f>SUMIFS('Cashbook '!$F$5:$F$139,'Cashbook '!$H$5:$H$139,A19,'Cashbook '!$B$5:$B$139,3)+SUMIFS('Bank '!$F$5:$F$30,'Bank '!$H$5:$H$30,A19,'Bank '!$B$5:$B$30,3)+SUMIFS(CashAdvance!$G$5:$G$198,CashAdvance!$I$5:$I$198,A19,CashAdvance!$C$5:$C$198,3)</f>
        <v>0</v>
      </c>
      <c r="J19" s="20">
        <f t="shared" si="4"/>
        <v>300000</v>
      </c>
      <c r="K19" s="4">
        <v>320000</v>
      </c>
      <c r="L19" s="7">
        <f t="shared" si="5"/>
        <v>0.9375</v>
      </c>
    </row>
    <row r="20" spans="1:12" ht="15.75" customHeight="1" outlineLevel="1">
      <c r="A20" s="143" t="s">
        <v>276</v>
      </c>
      <c r="B20" s="3"/>
      <c r="C20" s="50" t="s">
        <v>84</v>
      </c>
      <c r="D20" s="20">
        <f>SUMIFS('Cashbook '!$F$5:$F$139,'Cashbook '!$H$5:$H$139,A20,'Cashbook '!$B$5:$B$139,10)+SUMIFS('Bank '!$F$5:$F$30,'Bank '!$H$5:$H$30,A20,'Bank '!$B$5:$B$30,10)+SUMIFS(CashAdvance!$G$5:$G$198,CashAdvance!$I$5:$I$198,A20,CashAdvance!$C$5:$C$198,10)</f>
        <v>40000</v>
      </c>
      <c r="E20" s="20">
        <f>SUMIFS('Cashbook '!$F$5:$F$139,'Cashbook '!$H$5:$H$139,A20,'Cashbook '!$B$5:$B$139,11)+SUMIFS('Bank '!$F$5:$F$30,'Bank '!$H$5:$H$30,A20,'Bank '!$B$5:$B$30,11)+SUMIFS(CashAdvance!$G$5:$G$198,CashAdvance!$I$5:$I$198,A20,CashAdvance!$C$5:$C$198,11)</f>
        <v>0</v>
      </c>
      <c r="F20" s="20">
        <f>SUMIFS('Cashbook '!$F$5:$F$139,'Cashbook '!$H$5:$H$139,A20,'Cashbook '!$B$5:$B$139,12)+SUMIFS('Bank '!$F$5:$F$30,'Bank '!$H$5:$H$30,A20,'Bank '!$B$5:$B$30,12)+SUMIFS(CashAdvance!$G$5:$G$198,CashAdvance!$I$5:$I$198,A20,CashAdvance!$C$5:$C$198,12)</f>
        <v>0</v>
      </c>
      <c r="G20" s="20">
        <f>SUMIFS('Cashbook '!$F$5:$F$139,'Cashbook '!$H$5:$H$139,A20,'Cashbook '!$B$5:$B$139,1)+SUMIFS('Bank '!$F$5:$F$30,'Bank '!$H$5:$H$30,A20,'Bank '!$B$5:$B$30,1)+SUMIFS(CashAdvance!$G$5:$G$198,CashAdvance!$I$5:$I$198,A20,CashAdvance!$C$5:$C$198,1)</f>
        <v>0</v>
      </c>
      <c r="H20" s="20">
        <f>SUMIFS('Cashbook '!$F$5:$F$139,'Cashbook '!$H$5:$H$139,A20,'Cashbook '!$B$5:$B$139,2)+SUMIFS('Bank '!$F$5:$F$30,'Bank '!$H$5:$H$30,A20,'Bank '!$B$5:$B$30,2)+SUMIFS(CashAdvance!$G$5:$G$198,CashAdvance!$I$5:$I$198,A20,CashAdvance!$C$5:$C$198,2)</f>
        <v>60000</v>
      </c>
      <c r="I20" s="20">
        <f>SUMIFS('Cashbook '!$F$5:$F$139,'Cashbook '!$H$5:$H$139,A20,'Cashbook '!$B$5:$B$139,3)+SUMIFS('Bank '!$F$5:$F$30,'Bank '!$H$5:$H$30,A20,'Bank '!$B$5:$B$30,3)+SUMIFS(CashAdvance!$G$5:$G$198,CashAdvance!$I$5:$I$198,A20,CashAdvance!$C$5:$C$198,3)</f>
        <v>0</v>
      </c>
      <c r="J20" s="20">
        <f t="shared" si="4"/>
        <v>100000</v>
      </c>
      <c r="K20" s="4">
        <v>30000</v>
      </c>
      <c r="L20" s="7">
        <f t="shared" si="5"/>
        <v>3.3333333333333335</v>
      </c>
    </row>
    <row r="21" spans="1:12" ht="15.75" customHeight="1" outlineLevel="1">
      <c r="A21" s="142" t="s">
        <v>277</v>
      </c>
      <c r="B21" s="3"/>
      <c r="C21" s="50" t="s">
        <v>85</v>
      </c>
      <c r="D21" s="20">
        <f>SUMIFS('Cashbook '!$F$5:$F$139,'Cashbook '!$H$5:$H$139,A21,'Cashbook '!$B$5:$B$139,10)+SUMIFS('Bank '!$F$5:$F$30,'Bank '!$H$5:$H$30,A21,'Bank '!$B$5:$B$30,10)+SUMIFS(CashAdvance!$G$5:$G$198,CashAdvance!$I$5:$I$198,A21,CashAdvance!$C$5:$C$198,10)</f>
        <v>0</v>
      </c>
      <c r="E21" s="20">
        <f>SUMIFS('Cashbook '!$F$5:$F$139,'Cashbook '!$H$5:$H$139,A21,'Cashbook '!$B$5:$B$139,11)+SUMIFS('Bank '!$F$5:$F$30,'Bank '!$H$5:$H$30,A21,'Bank '!$B$5:$B$30,11)+SUMIFS(CashAdvance!$G$5:$G$198,CashAdvance!$I$5:$I$198,A21,CashAdvance!$C$5:$C$198,11)</f>
        <v>0</v>
      </c>
      <c r="F21" s="20">
        <f>SUMIFS('Cashbook '!$F$5:$F$139,'Cashbook '!$H$5:$H$139,A21,'Cashbook '!$B$5:$B$139,12)+SUMIFS('Bank '!$F$5:$F$30,'Bank '!$H$5:$H$30,A21,'Bank '!$B$5:$B$30,12)+SUMIFS(CashAdvance!$G$5:$G$198,CashAdvance!$I$5:$I$198,A21,CashAdvance!$C$5:$C$198,12)</f>
        <v>0</v>
      </c>
      <c r="G21" s="20">
        <f>SUMIFS('Cashbook '!$F$5:$F$139,'Cashbook '!$H$5:$H$139,A21,'Cashbook '!$B$5:$B$139,1)+SUMIFS('Bank '!$F$5:$F$30,'Bank '!$H$5:$H$30,A21,'Bank '!$B$5:$B$30,1)+SUMIFS(CashAdvance!$G$5:$G$198,CashAdvance!$I$5:$I$198,A21,CashAdvance!$C$5:$C$198,1)</f>
        <v>0</v>
      </c>
      <c r="H21" s="20">
        <f>SUMIFS('Cashbook '!$F$5:$F$139,'Cashbook '!$H$5:$H$139,A21,'Cashbook '!$B$5:$B$139,2)+SUMIFS('Bank '!$F$5:$F$30,'Bank '!$H$5:$H$30,A21,'Bank '!$B$5:$B$30,2)+SUMIFS(CashAdvance!$G$5:$G$198,CashAdvance!$I$5:$I$198,A21,CashAdvance!$C$5:$C$198,2)</f>
        <v>0</v>
      </c>
      <c r="I21" s="20">
        <f>SUMIFS('Cashbook '!$F$5:$F$139,'Cashbook '!$H$5:$H$139,A21,'Cashbook '!$B$5:$B$139,3)+SUMIFS('Bank '!$F$5:$F$30,'Bank '!$H$5:$H$30,A21,'Bank '!$B$5:$B$30,3)+SUMIFS(CashAdvance!$G$5:$G$198,CashAdvance!$I$5:$I$198,A21,CashAdvance!$C$5:$C$198,3)</f>
        <v>0</v>
      </c>
      <c r="J21" s="20">
        <f t="shared" si="4"/>
        <v>0</v>
      </c>
      <c r="K21" s="4">
        <v>120000</v>
      </c>
      <c r="L21" s="7">
        <f t="shared" si="5"/>
        <v>0</v>
      </c>
    </row>
    <row r="22" spans="1:12" ht="15.75" customHeight="1" outlineLevel="1">
      <c r="A22" s="142" t="s">
        <v>278</v>
      </c>
      <c r="B22" s="3"/>
      <c r="C22" s="50" t="s">
        <v>86</v>
      </c>
      <c r="D22" s="20">
        <f>SUMIFS('Cashbook '!$F$5:$F$139,'Cashbook '!$H$5:$H$139,A22,'Cashbook '!$B$5:$B$139,10)+SUMIFS('Bank '!$F$5:$F$30,'Bank '!$H$5:$H$30,A22,'Bank '!$B$5:$B$30,10)+SUMIFS(CashAdvance!$G$5:$G$198,CashAdvance!$I$5:$I$198,A22,CashAdvance!$C$5:$C$198,10)</f>
        <v>0</v>
      </c>
      <c r="E22" s="20">
        <f>SUMIFS('Cashbook '!$F$5:$F$139,'Cashbook '!$H$5:$H$139,A22,'Cashbook '!$B$5:$B$139,11)+SUMIFS('Bank '!$F$5:$F$30,'Bank '!$H$5:$H$30,A22,'Bank '!$B$5:$B$30,11)+SUMIFS(CashAdvance!$G$5:$G$198,CashAdvance!$I$5:$I$198,A22,CashAdvance!$C$5:$C$198,11)</f>
        <v>0</v>
      </c>
      <c r="F22" s="20">
        <f>SUMIFS('Cashbook '!$F$5:$F$139,'Cashbook '!$H$5:$H$139,A22,'Cashbook '!$B$5:$B$139,12)+SUMIFS('Bank '!$F$5:$F$30,'Bank '!$H$5:$H$30,A22,'Bank '!$B$5:$B$30,12)+SUMIFS(CashAdvance!$G$5:$G$198,CashAdvance!$I$5:$I$198,A22,CashAdvance!$C$5:$C$198,12)</f>
        <v>0</v>
      </c>
      <c r="G22" s="20">
        <f>SUMIFS('Cashbook '!$F$5:$F$139,'Cashbook '!$H$5:$H$139,A22,'Cashbook '!$B$5:$B$139,1)+SUMIFS('Bank '!$F$5:$F$30,'Bank '!$H$5:$H$30,A22,'Bank '!$B$5:$B$30,1)+SUMIFS(CashAdvance!$G$5:$G$198,CashAdvance!$I$5:$I$198,A22,CashAdvance!$C$5:$C$198,1)</f>
        <v>0</v>
      </c>
      <c r="H22" s="20">
        <f>SUMIFS('Cashbook '!$F$5:$F$139,'Cashbook '!$H$5:$H$139,A22,'Cashbook '!$B$5:$B$139,2)+SUMIFS('Bank '!$F$5:$F$30,'Bank '!$H$5:$H$30,A22,'Bank '!$B$5:$B$30,2)+SUMIFS(CashAdvance!$G$5:$G$198,CashAdvance!$I$5:$I$198,A22,CashAdvance!$C$5:$C$198,2)</f>
        <v>0</v>
      </c>
      <c r="I22" s="20">
        <f>SUMIFS('Cashbook '!$F$5:$F$139,'Cashbook '!$H$5:$H$139,A22,'Cashbook '!$B$5:$B$139,3)+SUMIFS('Bank '!$F$5:$F$30,'Bank '!$H$5:$H$30,A22,'Bank '!$B$5:$B$30,3)+SUMIFS(CashAdvance!$G$5:$G$198,CashAdvance!$I$5:$I$198,A22,CashAdvance!$C$5:$C$198,3)</f>
        <v>30000</v>
      </c>
      <c r="J22" s="20">
        <f t="shared" si="4"/>
        <v>30000</v>
      </c>
      <c r="K22" s="4">
        <v>20000</v>
      </c>
      <c r="L22" s="7">
        <f t="shared" si="5"/>
        <v>1.5</v>
      </c>
    </row>
    <row r="23" spans="1:12" ht="15.75" customHeight="1">
      <c r="A23" s="159" t="s">
        <v>279</v>
      </c>
      <c r="B23" s="160" t="s">
        <v>337</v>
      </c>
      <c r="C23" s="161"/>
      <c r="D23" s="162">
        <f t="shared" ref="D23:I23" si="6">SUM(D24:D26)</f>
        <v>98000</v>
      </c>
      <c r="E23" s="162">
        <f t="shared" si="6"/>
        <v>290200</v>
      </c>
      <c r="F23" s="162">
        <f t="shared" si="6"/>
        <v>220400</v>
      </c>
      <c r="G23" s="162">
        <f t="shared" si="6"/>
        <v>126700</v>
      </c>
      <c r="H23" s="162">
        <f t="shared" si="6"/>
        <v>274800</v>
      </c>
      <c r="I23" s="162">
        <f t="shared" si="6"/>
        <v>1112400</v>
      </c>
      <c r="J23" s="162">
        <f t="shared" si="4"/>
        <v>2122500</v>
      </c>
      <c r="K23" s="163">
        <f>SUM(K24:K26)</f>
        <v>1680000</v>
      </c>
      <c r="L23" s="164">
        <f>J23/K23</f>
        <v>1.2633928571428572</v>
      </c>
    </row>
    <row r="24" spans="1:12" ht="15.75" customHeight="1" outlineLevel="1">
      <c r="A24" s="143" t="s">
        <v>280</v>
      </c>
      <c r="B24" s="3"/>
      <c r="C24" s="50" t="s">
        <v>87</v>
      </c>
      <c r="D24" s="20">
        <f>SUMIFS('Cashbook '!$F$5:$F$139,'Cashbook '!$H$5:$H$139,A24,'Cashbook '!$B$5:$B$139,10)+SUMIFS('Bank '!$F$5:$F$30,'Bank '!$H$5:$H$30,A24,'Bank '!$B$5:$B$30,10)+SUMIFS(CashAdvance!$G$5:$G$198,CashAdvance!$I$5:$I$198,A24,CashAdvance!$C$5:$C$198,10)</f>
        <v>28000</v>
      </c>
      <c r="E24" s="20">
        <f>SUMIFS('Cashbook '!$F$5:$F$139,'Cashbook '!$H$5:$H$139,A24,'Cashbook '!$B$5:$B$139,11)+SUMIFS('Bank '!$F$5:$F$30,'Bank '!$H$5:$H$30,A24,'Bank '!$B$5:$B$30,11)+SUMIFS(CashAdvance!$G$5:$G$198,CashAdvance!$I$5:$I$198,A24,CashAdvance!$C$5:$C$198,11)</f>
        <v>179400</v>
      </c>
      <c r="F24" s="20">
        <f>SUMIFS('Cashbook '!$F$5:$F$139,'Cashbook '!$H$5:$H$139,A24,'Cashbook '!$B$5:$B$139,12)+SUMIFS('Bank '!$F$5:$F$30,'Bank '!$H$5:$H$30,A24,'Bank '!$B$5:$B$30,12)+SUMIFS(CashAdvance!$G$5:$G$198,CashAdvance!$I$5:$I$198,A24,CashAdvance!$C$5:$C$198,12)</f>
        <v>83000</v>
      </c>
      <c r="G24" s="20">
        <f>SUMIFS('Cashbook '!$F$5:$F$139,'Cashbook '!$H$5:$H$139,A24,'Cashbook '!$B$5:$B$139,1)+SUMIFS('Bank '!$F$5:$F$30,'Bank '!$H$5:$H$30,A24,'Bank '!$B$5:$B$30,1)+SUMIFS(CashAdvance!$G$5:$G$198,CashAdvance!$I$5:$I$198,A24,CashAdvance!$C$5:$C$198,1)</f>
        <v>69000</v>
      </c>
      <c r="H24" s="20">
        <f>SUMIFS('Cashbook '!$F$5:$F$139,'Cashbook '!$H$5:$H$139,A24,'Cashbook '!$B$5:$B$139,2)+SUMIFS('Bank '!$F$5:$F$30,'Bank '!$H$5:$H$30,A24,'Bank '!$B$5:$B$30,2)+SUMIFS(CashAdvance!$G$5:$G$198,CashAdvance!$I$5:$I$198,A24,CashAdvance!$C$5:$C$198,2)</f>
        <v>26300</v>
      </c>
      <c r="I24" s="20">
        <f>SUMIFS('Cashbook '!$F$5:$F$139,'Cashbook '!$H$5:$H$139,A24,'Cashbook '!$B$5:$B$139,3)+SUMIFS('Bank '!$F$5:$F$30,'Bank '!$H$5:$H$30,A24,'Bank '!$B$5:$B$30,3)+SUMIFS(CashAdvance!$G$5:$G$198,CashAdvance!$I$5:$I$198,A24,CashAdvance!$C$5:$C$198,3)</f>
        <v>40300</v>
      </c>
      <c r="J24" s="72">
        <f t="shared" si="4"/>
        <v>426000</v>
      </c>
      <c r="K24" s="4">
        <v>180000</v>
      </c>
      <c r="L24" s="73">
        <f t="shared" si="5"/>
        <v>2.3666666666666667</v>
      </c>
    </row>
    <row r="25" spans="1:12" ht="15.75" customHeight="1" outlineLevel="1">
      <c r="A25" s="143" t="s">
        <v>281</v>
      </c>
      <c r="B25" s="3"/>
      <c r="C25" s="50" t="s">
        <v>88</v>
      </c>
      <c r="D25" s="20">
        <f>SUMIFS('Cashbook '!$F$5:$F$139,'Cashbook '!$H$5:$H$139,A25,'Cashbook '!$B$5:$B$139,10)+SUMIFS('Bank '!$F$5:$F$30,'Bank '!$H$5:$H$30,A25,'Bank '!$B$5:$B$30,10)+SUMIFS(CashAdvance!$G$5:$G$198,CashAdvance!$I$5:$I$198,A25,CashAdvance!$C$5:$C$198,10)</f>
        <v>70000</v>
      </c>
      <c r="E25" s="20">
        <f>SUMIFS('Cashbook '!$F$5:$F$139,'Cashbook '!$H$5:$H$139,A25,'Cashbook '!$B$5:$B$139,11)+SUMIFS('Bank '!$F$5:$F$30,'Bank '!$H$5:$H$30,A25,'Bank '!$B$5:$B$30,11)+SUMIFS(CashAdvance!$G$5:$G$198,CashAdvance!$I$5:$I$198,A25,CashAdvance!$C$5:$C$198,11)</f>
        <v>110800</v>
      </c>
      <c r="F25" s="20">
        <f>SUMIFS('Cashbook '!$F$5:$F$139,'Cashbook '!$H$5:$H$139,A25,'Cashbook '!$B$5:$B$139,12)+SUMIFS('Bank '!$F$5:$F$30,'Bank '!$H$5:$H$30,A25,'Bank '!$B$5:$B$30,12)+SUMIFS(CashAdvance!$G$5:$G$198,CashAdvance!$I$5:$I$198,A25,CashAdvance!$C$5:$C$198,12)</f>
        <v>137400</v>
      </c>
      <c r="G25" s="20">
        <f>SUMIFS('Cashbook '!$F$5:$F$139,'Cashbook '!$H$5:$H$139,A25,'Cashbook '!$B$5:$B$139,1)+SUMIFS('Bank '!$F$5:$F$30,'Bank '!$H$5:$H$30,A25,'Bank '!$B$5:$B$30,1)+SUMIFS(CashAdvance!$G$5:$G$198,CashAdvance!$I$5:$I$198,A25,CashAdvance!$C$5:$C$198,1)</f>
        <v>57700</v>
      </c>
      <c r="H25" s="20">
        <f>SUMIFS('Cashbook '!$F$5:$F$139,'Cashbook '!$H$5:$H$139,A25,'Cashbook '!$B$5:$B$139,2)+SUMIFS('Bank '!$F$5:$F$30,'Bank '!$H$5:$H$30,A25,'Bank '!$B$5:$B$30,2)+SUMIFS(CashAdvance!$G$5:$G$198,CashAdvance!$I$5:$I$198,A25,CashAdvance!$C$5:$C$198,2)</f>
        <v>248500</v>
      </c>
      <c r="I25" s="20">
        <f>SUMIFS('Cashbook '!$F$5:$F$139,'Cashbook '!$H$5:$H$139,A25,'Cashbook '!$B$5:$B$139,3)+SUMIFS('Bank '!$F$5:$F$30,'Bank '!$H$5:$H$30,A25,'Bank '!$B$5:$B$30,3)+SUMIFS(CashAdvance!$G$5:$G$198,CashAdvance!$I$5:$I$198,A25,CashAdvance!$C$5:$C$198,3)</f>
        <v>72100</v>
      </c>
      <c r="J25" s="20">
        <f t="shared" si="4"/>
        <v>696500</v>
      </c>
      <c r="K25" s="4">
        <v>500000</v>
      </c>
      <c r="L25" s="7">
        <f t="shared" si="5"/>
        <v>1.393</v>
      </c>
    </row>
    <row r="26" spans="1:12" ht="15.75" customHeight="1" outlineLevel="1">
      <c r="A26" s="142" t="s">
        <v>282</v>
      </c>
      <c r="B26" s="3"/>
      <c r="C26" s="50" t="s">
        <v>89</v>
      </c>
      <c r="D26" s="20">
        <f>SUMIFS('Cashbook '!$F$5:$F$139,'Cashbook '!$H$5:$H$139,A26,'Cashbook '!$B$5:$B$139,10)+SUMIFS('Bank '!$F$5:$F$30,'Bank '!$H$5:$H$30,A26,'Bank '!$B$5:$B$30,10)+SUMIFS(CashAdvance!$G$5:$G$198,CashAdvance!$I$5:$I$198,A26,CashAdvance!$C$5:$C$198,10)</f>
        <v>0</v>
      </c>
      <c r="E26" s="20">
        <f>SUMIFS('Cashbook '!$F$5:$F$139,'Cashbook '!$H$5:$H$139,A26,'Cashbook '!$B$5:$B$139,11)+SUMIFS('Bank '!$F$5:$F$30,'Bank '!$H$5:$H$30,A26,'Bank '!$B$5:$B$30,11)+SUMIFS(CashAdvance!$G$5:$G$198,CashAdvance!$I$5:$I$198,A26,CashAdvance!$C$5:$C$198,11)</f>
        <v>0</v>
      </c>
      <c r="F26" s="20">
        <f>SUMIFS('Cashbook '!$F$5:$F$139,'Cashbook '!$H$5:$H$139,A26,'Cashbook '!$B$5:$B$139,12)+SUMIFS('Bank '!$F$5:$F$30,'Bank '!$H$5:$H$30,A26,'Bank '!$B$5:$B$30,12)+SUMIFS(CashAdvance!$G$5:$G$198,CashAdvance!$I$5:$I$198,A26,CashAdvance!$C$5:$C$198,12)</f>
        <v>0</v>
      </c>
      <c r="G26" s="20">
        <f>SUMIFS('Cashbook '!$F$5:$F$139,'Cashbook '!$H$5:$H$139,A26,'Cashbook '!$B$5:$B$139,1)+SUMIFS('Bank '!$F$5:$F$30,'Bank '!$H$5:$H$30,A26,'Bank '!$B$5:$B$30,1)+SUMIFS(CashAdvance!$G$5:$G$198,CashAdvance!$I$5:$I$198,A26,CashAdvance!$C$5:$C$198,1)</f>
        <v>0</v>
      </c>
      <c r="H26" s="20">
        <f>SUMIFS('Cashbook '!$F$5:$F$139,'Cashbook '!$H$5:$H$139,A26,'Cashbook '!$B$5:$B$139,2)+SUMIFS('Bank '!$F$5:$F$30,'Bank '!$H$5:$H$30,A26,'Bank '!$B$5:$B$30,2)+SUMIFS(CashAdvance!$G$5:$G$198,CashAdvance!$I$5:$I$198,A26,CashAdvance!$C$5:$C$198,2)</f>
        <v>0</v>
      </c>
      <c r="I26" s="20">
        <f>SUMIFS('Cashbook '!$F$5:$F$139,'Cashbook '!$H$5:$H$139,A26,'Cashbook '!$B$5:$B$139,3)+SUMIFS('Bank '!$F$5:$F$30,'Bank '!$H$5:$H$30,A26,'Bank '!$B$5:$B$30,3)+SUMIFS(CashAdvance!$G$5:$G$198,CashAdvance!$I$5:$I$198,A26,CashAdvance!$C$5:$C$198,3)</f>
        <v>1000000</v>
      </c>
      <c r="J26" s="20">
        <f t="shared" si="4"/>
        <v>1000000</v>
      </c>
      <c r="K26" s="4">
        <v>1000000</v>
      </c>
      <c r="L26" s="7">
        <f t="shared" ref="L26:L42" si="7">J26/K26</f>
        <v>1</v>
      </c>
    </row>
    <row r="27" spans="1:12" ht="15.75" customHeight="1">
      <c r="A27" s="159" t="s">
        <v>283</v>
      </c>
      <c r="B27" s="160" t="s">
        <v>105</v>
      </c>
      <c r="C27" s="161"/>
      <c r="D27" s="162">
        <f t="shared" ref="D27:I27" si="8">SUM(D28:D30)</f>
        <v>0</v>
      </c>
      <c r="E27" s="162">
        <f t="shared" si="8"/>
        <v>13000</v>
      </c>
      <c r="F27" s="162">
        <f t="shared" si="8"/>
        <v>4159900</v>
      </c>
      <c r="G27" s="162">
        <f t="shared" si="8"/>
        <v>5871600</v>
      </c>
      <c r="H27" s="162">
        <f t="shared" si="8"/>
        <v>44000</v>
      </c>
      <c r="I27" s="162">
        <f t="shared" si="8"/>
        <v>115000</v>
      </c>
      <c r="J27" s="162">
        <f t="shared" si="4"/>
        <v>10203500</v>
      </c>
      <c r="K27" s="163">
        <f>SUM(K28:K30)</f>
        <v>13510000</v>
      </c>
      <c r="L27" s="164">
        <f t="shared" si="7"/>
        <v>0.75525536639526281</v>
      </c>
    </row>
    <row r="28" spans="1:12" ht="15.75" customHeight="1" outlineLevel="1">
      <c r="A28" s="143" t="s">
        <v>284</v>
      </c>
      <c r="B28" s="3"/>
      <c r="C28" s="50" t="s">
        <v>90</v>
      </c>
      <c r="D28" s="20">
        <f>SUMIFS('Cashbook '!$F$5:$F$139,'Cashbook '!$H$5:$H$139,A28,'Cashbook '!$B$5:$B$139,10)+SUMIFS('Bank '!$F$5:$F$30,'Bank '!$H$5:$H$30,A28,'Bank '!$B$5:$B$30,10)+SUMIFS(CashAdvance!$G$5:$G$198,CashAdvance!$I$5:$I$198,A28,CashAdvance!$C$5:$C$198,10)</f>
        <v>0</v>
      </c>
      <c r="E28" s="20">
        <f>SUMIFS('Cashbook '!$F$5:$F$139,'Cashbook '!$H$5:$H$139,A28,'Cashbook '!$B$5:$B$139,11)+SUMIFS('Bank '!$F$5:$F$30,'Bank '!$H$5:$H$30,A28,'Bank '!$B$5:$B$30,11)+SUMIFS(CashAdvance!$G$5:$G$198,CashAdvance!$I$5:$I$198,A28,CashAdvance!$C$5:$C$198,11)</f>
        <v>13000</v>
      </c>
      <c r="F28" s="20">
        <f>SUMIFS('Cashbook '!$F$5:$F$139,'Cashbook '!$H$5:$H$139,A28,'Cashbook '!$B$5:$B$139,12)+SUMIFS('Bank '!$F$5:$F$30,'Bank '!$H$5:$H$30,A28,'Bank '!$B$5:$B$30,12)+SUMIFS(CashAdvance!$G$5:$G$198,CashAdvance!$I$5:$I$198,A28,CashAdvance!$C$5:$C$198,12)</f>
        <v>0</v>
      </c>
      <c r="G28" s="20">
        <f>SUMIFS('Cashbook '!$F$5:$F$139,'Cashbook '!$H$5:$H$139,A28,'Cashbook '!$B$5:$B$139,1)+SUMIFS('Bank '!$F$5:$F$30,'Bank '!$H$5:$H$30,A28,'Bank '!$B$5:$B$30,1)+SUMIFS(CashAdvance!$G$5:$G$198,CashAdvance!$I$5:$I$198,A28,CashAdvance!$C$5:$C$198,1)</f>
        <v>4000</v>
      </c>
      <c r="H28" s="20">
        <f>SUMIFS('Cashbook '!$F$5:$F$139,'Cashbook '!$H$5:$H$139,A28,'Cashbook '!$B$5:$B$139,2)+SUMIFS('Bank '!$F$5:$F$30,'Bank '!$H$5:$H$30,A28,'Bank '!$B$5:$B$30,2)+SUMIFS(CashAdvance!$G$5:$G$198,CashAdvance!$I$5:$I$198,A28,CashAdvance!$C$5:$C$198,2)</f>
        <v>0</v>
      </c>
      <c r="I28" s="20">
        <f>SUMIFS('Cashbook '!$F$5:$F$139,'Cashbook '!$H$5:$H$139,A28,'Cashbook '!$B$5:$B$139,3)+SUMIFS('Bank '!$F$5:$F$30,'Bank '!$H$5:$H$30,A28,'Bank '!$B$5:$B$30,3)+SUMIFS(CashAdvance!$G$5:$G$198,CashAdvance!$I$5:$I$198,A28,CashAdvance!$C$5:$C$198,3)</f>
        <v>115000</v>
      </c>
      <c r="J28" s="20">
        <f t="shared" si="4"/>
        <v>132000</v>
      </c>
      <c r="K28" s="4">
        <v>200000</v>
      </c>
      <c r="L28" s="7">
        <f t="shared" si="7"/>
        <v>0.66</v>
      </c>
    </row>
    <row r="29" spans="1:12" ht="15.75" customHeight="1" outlineLevel="1">
      <c r="A29" s="143" t="s">
        <v>285</v>
      </c>
      <c r="B29" s="3"/>
      <c r="C29" s="50" t="s">
        <v>91</v>
      </c>
      <c r="D29" s="20">
        <f>SUMIFS('Cashbook '!$F$5:$F$139,'Cashbook '!$H$5:$H$139,A29,'Cashbook '!$B$5:$B$139,10)+SUMIFS('Bank '!$F$5:$F$30,'Bank '!$H$5:$H$30,A29,'Bank '!$B$5:$B$30,10)+SUMIFS(CashAdvance!$G$5:$G$198,CashAdvance!$I$5:$I$198,A29,CashAdvance!$C$5:$C$198,10)</f>
        <v>0</v>
      </c>
      <c r="E29" s="20">
        <f>SUMIFS('Cashbook '!$F$5:$F$139,'Cashbook '!$H$5:$H$139,A29,'Cashbook '!$B$5:$B$139,11)+SUMIFS('Bank '!$F$5:$F$30,'Bank '!$H$5:$H$30,A29,'Bank '!$B$5:$B$30,11)+SUMIFS(CashAdvance!$G$5:$G$198,CashAdvance!$I$5:$I$198,A29,CashAdvance!$C$5:$C$198,11)</f>
        <v>0</v>
      </c>
      <c r="F29" s="20">
        <f>SUMIFS('Cashbook '!$F$5:$F$139,'Cashbook '!$H$5:$H$139,A29,'Cashbook '!$B$5:$B$139,12)+SUMIFS('Bank '!$F$5:$F$30,'Bank '!$H$5:$H$30,A29,'Bank '!$B$5:$B$30,12)+SUMIFS(CashAdvance!$G$5:$G$198,CashAdvance!$I$5:$I$198,A29,CashAdvance!$C$5:$C$198,12)</f>
        <v>3959900</v>
      </c>
      <c r="G29" s="20">
        <f>SUMIFS('Cashbook '!$F$5:$F$139,'Cashbook '!$H$5:$H$139,A29,'Cashbook '!$B$5:$B$139,1)+SUMIFS('Bank '!$F$5:$F$30,'Bank '!$H$5:$H$30,A29,'Bank '!$B$5:$B$30,1)+SUMIFS(CashAdvance!$G$5:$G$198,CashAdvance!$I$5:$I$198,A29,CashAdvance!$C$5:$C$198,1)</f>
        <v>5767600</v>
      </c>
      <c r="H29" s="20">
        <f>SUMIFS('Cashbook '!$F$5:$F$139,'Cashbook '!$H$5:$H$139,A29,'Cashbook '!$B$5:$B$139,2)+SUMIFS('Bank '!$F$5:$F$30,'Bank '!$H$5:$H$30,A29,'Bank '!$B$5:$B$30,2)+SUMIFS(CashAdvance!$G$5:$G$198,CashAdvance!$I$5:$I$198,A29,CashAdvance!$C$5:$C$198,2)</f>
        <v>44000</v>
      </c>
      <c r="I29" s="20">
        <f>SUMIFS('Cashbook '!$F$5:$F$139,'Cashbook '!$H$5:$H$139,A29,'Cashbook '!$B$5:$B$139,3)+SUMIFS('Bank '!$F$5:$F$30,'Bank '!$H$5:$H$30,A29,'Bank '!$B$5:$B$30,3)+SUMIFS(CashAdvance!$G$5:$G$198,CashAdvance!$I$5:$I$198,A29,CashAdvance!$C$5:$C$198,3)</f>
        <v>0</v>
      </c>
      <c r="J29" s="20">
        <f t="shared" si="4"/>
        <v>9771500</v>
      </c>
      <c r="K29" s="4">
        <v>12880000</v>
      </c>
      <c r="L29" s="7">
        <f t="shared" si="7"/>
        <v>0.75865683229813663</v>
      </c>
    </row>
    <row r="30" spans="1:12" ht="15.75" customHeight="1" outlineLevel="1">
      <c r="A30" s="143" t="s">
        <v>286</v>
      </c>
      <c r="B30" s="3"/>
      <c r="C30" s="50" t="s">
        <v>92</v>
      </c>
      <c r="D30" s="20">
        <f>SUMIFS('Cashbook '!$F$5:$F$139,'Cashbook '!$H$5:$H$139,A30,'Cashbook '!$B$5:$B$139,10)+SUMIFS('Bank '!$F$5:$F$30,'Bank '!$H$5:$H$30,A30,'Bank '!$B$5:$B$30,10)+SUMIFS(CashAdvance!$G$5:$G$198,CashAdvance!$I$5:$I$198,A30,CashAdvance!$C$5:$C$198,10)</f>
        <v>0</v>
      </c>
      <c r="E30" s="20">
        <f>SUMIFS('Cashbook '!$F$5:$F$139,'Cashbook '!$H$5:$H$139,A30,'Cashbook '!$B$5:$B$139,11)+SUMIFS('Bank '!$F$5:$F$30,'Bank '!$H$5:$H$30,A30,'Bank '!$B$5:$B$30,11)+SUMIFS(CashAdvance!$G$5:$G$198,CashAdvance!$I$5:$I$198,A30,CashAdvance!$C$5:$C$198,11)</f>
        <v>0</v>
      </c>
      <c r="F30" s="20">
        <f>SUMIFS('Cashbook '!$F$5:$F$139,'Cashbook '!$H$5:$H$139,A30,'Cashbook '!$B$5:$B$139,12)+SUMIFS('Bank '!$F$5:$F$30,'Bank '!$H$5:$H$30,A30,'Bank '!$B$5:$B$30,12)+SUMIFS(CashAdvance!$G$5:$G$198,CashAdvance!$I$5:$I$198,A30,CashAdvance!$C$5:$C$198,12)</f>
        <v>200000</v>
      </c>
      <c r="G30" s="20">
        <f>SUMIFS('Cashbook '!$F$5:$F$139,'Cashbook '!$H$5:$H$139,A30,'Cashbook '!$B$5:$B$139,1)+SUMIFS('Bank '!$F$5:$F$30,'Bank '!$H$5:$H$30,A30,'Bank '!$B$5:$B$30,1)+SUMIFS(CashAdvance!$G$5:$G$198,CashAdvance!$I$5:$I$198,A30,CashAdvance!$C$5:$C$198,1)</f>
        <v>100000</v>
      </c>
      <c r="H30" s="20">
        <f>SUMIFS('Cashbook '!$F$5:$F$139,'Cashbook '!$H$5:$H$139,A30,'Cashbook '!$B$5:$B$139,2)+SUMIFS('Bank '!$F$5:$F$30,'Bank '!$H$5:$H$30,A30,'Bank '!$B$5:$B$30,2)+SUMIFS(CashAdvance!$G$5:$G$198,CashAdvance!$I$5:$I$198,A30,CashAdvance!$C$5:$C$198,2)</f>
        <v>0</v>
      </c>
      <c r="I30" s="20">
        <f>SUMIFS('Cashbook '!$F$5:$F$139,'Cashbook '!$H$5:$H$139,A30,'Cashbook '!$B$5:$B$139,3)+SUMIFS('Bank '!$F$5:$F$30,'Bank '!$H$5:$H$30,A30,'Bank '!$B$5:$B$30,3)+SUMIFS(CashAdvance!$G$5:$G$198,CashAdvance!$I$5:$I$198,A30,CashAdvance!$C$5:$C$198,3)</f>
        <v>0</v>
      </c>
      <c r="J30" s="20">
        <f t="shared" si="4"/>
        <v>300000</v>
      </c>
      <c r="K30" s="4">
        <v>430000</v>
      </c>
      <c r="L30" s="7">
        <f t="shared" si="7"/>
        <v>0.69767441860465118</v>
      </c>
    </row>
    <row r="31" spans="1:12" ht="15.75" customHeight="1">
      <c r="A31" s="159" t="s">
        <v>287</v>
      </c>
      <c r="B31" s="160" t="s">
        <v>106</v>
      </c>
      <c r="C31" s="161"/>
      <c r="D31" s="162">
        <f t="shared" ref="D31:I31" si="9">SUM(D32:D36)</f>
        <v>0</v>
      </c>
      <c r="E31" s="162">
        <f t="shared" si="9"/>
        <v>1884000</v>
      </c>
      <c r="F31" s="162">
        <f t="shared" si="9"/>
        <v>995000</v>
      </c>
      <c r="G31" s="162">
        <f t="shared" si="9"/>
        <v>15000</v>
      </c>
      <c r="H31" s="162">
        <f t="shared" si="9"/>
        <v>0</v>
      </c>
      <c r="I31" s="162">
        <f t="shared" si="9"/>
        <v>0</v>
      </c>
      <c r="J31" s="162">
        <f t="shared" si="4"/>
        <v>2894000</v>
      </c>
      <c r="K31" s="163">
        <f>SUM(K32:K36)</f>
        <v>8010000</v>
      </c>
      <c r="L31" s="164">
        <f t="shared" si="7"/>
        <v>0.36129837702871409</v>
      </c>
    </row>
    <row r="32" spans="1:12" ht="15.75" customHeight="1" outlineLevel="1">
      <c r="A32" s="143" t="s">
        <v>288</v>
      </c>
      <c r="B32" s="3"/>
      <c r="C32" s="50" t="s">
        <v>93</v>
      </c>
      <c r="D32" s="20">
        <f>SUMIFS('Cashbook '!$F$5:$F$139,'Cashbook '!$H$5:$H$139,A32,'Cashbook '!$B$5:$B$139,10)+SUMIFS('Bank '!$F$5:$F$30,'Bank '!$H$5:$H$30,A32,'Bank '!$B$5:$B$30,10)+SUMIFS(CashAdvance!$G$5:$G$198,CashAdvance!$I$5:$I$198,A32,CashAdvance!$C$5:$C$198,10)</f>
        <v>0</v>
      </c>
      <c r="E32" s="20">
        <f>SUMIFS('Cashbook '!$F$5:$F$139,'Cashbook '!$H$5:$H$139,A32,'Cashbook '!$B$5:$B$139,11)+SUMIFS('Bank '!$F$5:$F$30,'Bank '!$H$5:$H$30,A32,'Bank '!$B$5:$B$30,11)+SUMIFS(CashAdvance!$G$5:$G$198,CashAdvance!$I$5:$I$198,A32,CashAdvance!$C$5:$C$198,11)</f>
        <v>0</v>
      </c>
      <c r="F32" s="20">
        <f>SUMIFS('Cashbook '!$F$5:$F$139,'Cashbook '!$H$5:$H$139,A32,'Cashbook '!$B$5:$B$139,12)+SUMIFS('Bank '!$F$5:$F$30,'Bank '!$H$5:$H$30,A32,'Bank '!$B$5:$B$30,12)+SUMIFS(CashAdvance!$G$5:$G$198,CashAdvance!$I$5:$I$198,A32,CashAdvance!$C$5:$C$198,12)</f>
        <v>995000</v>
      </c>
      <c r="G32" s="20">
        <f>SUMIFS('Cashbook '!$F$5:$F$139,'Cashbook '!$H$5:$H$139,A32,'Cashbook '!$B$5:$B$139,1)+SUMIFS('Bank '!$F$5:$F$30,'Bank '!$H$5:$H$30,A32,'Bank '!$B$5:$B$30,1)+SUMIFS(CashAdvance!$G$5:$G$198,CashAdvance!$I$5:$I$198,A32,CashAdvance!$C$5:$C$198,1)</f>
        <v>0</v>
      </c>
      <c r="H32" s="20">
        <f>SUMIFS('Cashbook '!$F$5:$F$139,'Cashbook '!$H$5:$H$139,A32,'Cashbook '!$B$5:$B$139,2)+SUMIFS('Bank '!$F$5:$F$30,'Bank '!$H$5:$H$30,A32,'Bank '!$B$5:$B$30,2)+SUMIFS(CashAdvance!$G$5:$G$198,CashAdvance!$I$5:$I$198,A32,CashAdvance!$C$5:$C$198,2)</f>
        <v>0</v>
      </c>
      <c r="I32" s="20">
        <f>SUMIFS('Cashbook '!$F$5:$F$139,'Cashbook '!$H$5:$H$139,A32,'Cashbook '!$B$5:$B$139,3)+SUMIFS('Bank '!$F$5:$F$30,'Bank '!$H$5:$H$30,A32,'Bank '!$B$5:$B$30,3)+SUMIFS(CashAdvance!$G$5:$G$198,CashAdvance!$I$5:$I$198,A32,CashAdvance!$C$5:$C$198,3)</f>
        <v>0</v>
      </c>
      <c r="J32" s="20">
        <f t="shared" si="4"/>
        <v>995000</v>
      </c>
      <c r="K32" s="4">
        <v>1000000</v>
      </c>
      <c r="L32" s="7">
        <f t="shared" si="7"/>
        <v>0.995</v>
      </c>
    </row>
    <row r="33" spans="1:12" ht="15.75" customHeight="1" outlineLevel="1">
      <c r="A33" s="143" t="s">
        <v>289</v>
      </c>
      <c r="B33" s="3"/>
      <c r="C33" s="50" t="s">
        <v>94</v>
      </c>
      <c r="D33" s="20">
        <f>SUMIFS('Cashbook '!$F$5:$F$139,'Cashbook '!$H$5:$H$139,A33,'Cashbook '!$B$5:$B$139,10)+SUMIFS('Bank '!$F$5:$F$30,'Bank '!$H$5:$H$30,A33,'Bank '!$B$5:$B$30,10)+SUMIFS(CashAdvance!$G$5:$G$198,CashAdvance!$I$5:$I$198,A33,CashAdvance!$C$5:$C$198,10)</f>
        <v>0</v>
      </c>
      <c r="E33" s="20">
        <f>SUMIFS('Cashbook '!$F$5:$F$139,'Cashbook '!$H$5:$H$139,A33,'Cashbook '!$B$5:$B$139,11)+SUMIFS('Bank '!$F$5:$F$30,'Bank '!$H$5:$H$30,A33,'Bank '!$B$5:$B$30,11)+SUMIFS(CashAdvance!$G$5:$G$198,CashAdvance!$I$5:$I$198,A33,CashAdvance!$C$5:$C$198,11)</f>
        <v>50000</v>
      </c>
      <c r="F33" s="20">
        <f>SUMIFS('Cashbook '!$F$5:$F$139,'Cashbook '!$H$5:$H$139,A33,'Cashbook '!$B$5:$B$139,12)+SUMIFS('Bank '!$F$5:$F$30,'Bank '!$H$5:$H$30,A33,'Bank '!$B$5:$B$30,12)+SUMIFS(CashAdvance!$G$5:$G$198,CashAdvance!$I$5:$I$198,A33,CashAdvance!$C$5:$C$198,12)</f>
        <v>0</v>
      </c>
      <c r="G33" s="20">
        <f>SUMIFS('Cashbook '!$F$5:$F$139,'Cashbook '!$H$5:$H$139,A33,'Cashbook '!$B$5:$B$139,1)+SUMIFS('Bank '!$F$5:$F$30,'Bank '!$H$5:$H$30,A33,'Bank '!$B$5:$B$30,1)+SUMIFS(CashAdvance!$G$5:$G$198,CashAdvance!$I$5:$I$198,A33,CashAdvance!$C$5:$C$198,1)</f>
        <v>0</v>
      </c>
      <c r="H33" s="20">
        <f>SUMIFS('Cashbook '!$F$5:$F$139,'Cashbook '!$H$5:$H$139,A33,'Cashbook '!$B$5:$B$139,2)+SUMIFS('Bank '!$F$5:$F$30,'Bank '!$H$5:$H$30,A33,'Bank '!$B$5:$B$30,2)+SUMIFS(CashAdvance!$G$5:$G$198,CashAdvance!$I$5:$I$198,A33,CashAdvance!$C$5:$C$198,2)</f>
        <v>0</v>
      </c>
      <c r="I33" s="20">
        <f>SUMIFS('Cashbook '!$F$5:$F$139,'Cashbook '!$H$5:$H$139,A33,'Cashbook '!$B$5:$B$139,3)+SUMIFS('Bank '!$F$5:$F$30,'Bank '!$H$5:$H$30,A33,'Bank '!$B$5:$B$30,3)+SUMIFS(CashAdvance!$G$5:$G$198,CashAdvance!$I$5:$I$198,A33,CashAdvance!$C$5:$C$198,3)</f>
        <v>0</v>
      </c>
      <c r="J33" s="20">
        <f t="shared" si="4"/>
        <v>50000</v>
      </c>
      <c r="K33" s="4">
        <v>5000000</v>
      </c>
      <c r="L33" s="7">
        <f t="shared" si="7"/>
        <v>0.01</v>
      </c>
    </row>
    <row r="34" spans="1:12" ht="15.75" customHeight="1" outlineLevel="1">
      <c r="A34" s="143" t="s">
        <v>290</v>
      </c>
      <c r="B34" s="3"/>
      <c r="C34" s="50" t="s">
        <v>95</v>
      </c>
      <c r="D34" s="20">
        <f>SUMIFS('Cashbook '!$F$5:$F$139,'Cashbook '!$H$5:$H$139,A34,'Cashbook '!$B$5:$B$139,10)+SUMIFS('Bank '!$F$5:$F$30,'Bank '!$H$5:$H$30,A34,'Bank '!$B$5:$B$30,10)+SUMIFS(CashAdvance!$G$5:$G$198,CashAdvance!$I$5:$I$198,A34,CashAdvance!$C$5:$C$198,10)</f>
        <v>0</v>
      </c>
      <c r="E34" s="20">
        <f>SUMIFS('Cashbook '!$F$5:$F$139,'Cashbook '!$H$5:$H$139,A34,'Cashbook '!$B$5:$B$139,11)+SUMIFS('Bank '!$F$5:$F$30,'Bank '!$H$5:$H$30,A34,'Bank '!$B$5:$B$30,11)+SUMIFS(CashAdvance!$G$5:$G$198,CashAdvance!$I$5:$I$198,A34,CashAdvance!$C$5:$C$198,11)</f>
        <v>1552000</v>
      </c>
      <c r="F34" s="20">
        <f>SUMIFS('Cashbook '!$F$5:$F$139,'Cashbook '!$H$5:$H$139,A34,'Cashbook '!$B$5:$B$139,12)+SUMIFS('Bank '!$F$5:$F$30,'Bank '!$H$5:$H$30,A34,'Bank '!$B$5:$B$30,12)+SUMIFS(CashAdvance!$G$5:$G$198,CashAdvance!$I$5:$I$198,A34,CashAdvance!$C$5:$C$198,12)</f>
        <v>0</v>
      </c>
      <c r="G34" s="20">
        <f>SUMIFS('Cashbook '!$F$5:$F$139,'Cashbook '!$H$5:$H$139,A34,'Cashbook '!$B$5:$B$139,1)+SUMIFS('Bank '!$F$5:$F$30,'Bank '!$H$5:$H$30,A34,'Bank '!$B$5:$B$30,1)+SUMIFS(CashAdvance!$G$5:$G$198,CashAdvance!$I$5:$I$198,A34,CashAdvance!$C$5:$C$198,1)</f>
        <v>15000</v>
      </c>
      <c r="H34" s="20">
        <f>SUMIFS('Cashbook '!$F$5:$F$139,'Cashbook '!$H$5:$H$139,A34,'Cashbook '!$B$5:$B$139,2)+SUMIFS('Bank '!$F$5:$F$30,'Bank '!$H$5:$H$30,A34,'Bank '!$B$5:$B$30,2)+SUMIFS(CashAdvance!$G$5:$G$198,CashAdvance!$I$5:$I$198,A34,CashAdvance!$C$5:$C$198,2)</f>
        <v>0</v>
      </c>
      <c r="I34" s="20">
        <f>SUMIFS('Cashbook '!$F$5:$F$139,'Cashbook '!$H$5:$H$139,A34,'Cashbook '!$B$5:$B$139,3)+SUMIFS('Bank '!$F$5:$F$30,'Bank '!$H$5:$H$30,A34,'Bank '!$B$5:$B$30,3)+SUMIFS(CashAdvance!$G$5:$G$198,CashAdvance!$I$5:$I$198,A34,CashAdvance!$C$5:$C$198,3)</f>
        <v>0</v>
      </c>
      <c r="J34" s="20">
        <f t="shared" si="4"/>
        <v>1567000</v>
      </c>
      <c r="K34" s="4">
        <v>1500000</v>
      </c>
      <c r="L34" s="7">
        <f t="shared" si="7"/>
        <v>1.0446666666666666</v>
      </c>
    </row>
    <row r="35" spans="1:12" ht="15.75" customHeight="1" outlineLevel="1">
      <c r="A35" s="143" t="s">
        <v>291</v>
      </c>
      <c r="B35" s="3"/>
      <c r="C35" s="50" t="s">
        <v>96</v>
      </c>
      <c r="D35" s="20">
        <f>SUMIFS('Cashbook '!$F$5:$F$139,'Cashbook '!$H$5:$H$139,A35,'Cashbook '!$B$5:$B$139,10)+SUMIFS('Bank '!$F$5:$F$30,'Bank '!$H$5:$H$30,A35,'Bank '!$B$5:$B$30,10)+SUMIFS(CashAdvance!$G$5:$G$198,CashAdvance!$I$5:$I$198,A35,CashAdvance!$C$5:$C$198,10)</f>
        <v>0</v>
      </c>
      <c r="E35" s="20">
        <f>SUMIFS('Cashbook '!$F$5:$F$139,'Cashbook '!$H$5:$H$139,A35,'Cashbook '!$B$5:$B$139,11)+SUMIFS('Bank '!$F$5:$F$30,'Bank '!$H$5:$H$30,A35,'Bank '!$B$5:$B$30,11)+SUMIFS(CashAdvance!$G$5:$G$198,CashAdvance!$I$5:$I$198,A35,CashAdvance!$C$5:$C$198,11)</f>
        <v>60000</v>
      </c>
      <c r="F35" s="20">
        <f>SUMIFS('Cashbook '!$F$5:$F$139,'Cashbook '!$H$5:$H$139,A35,'Cashbook '!$B$5:$B$139,12)+SUMIFS('Bank '!$F$5:$F$30,'Bank '!$H$5:$H$30,A35,'Bank '!$B$5:$B$30,12)+SUMIFS(CashAdvance!$G$5:$G$198,CashAdvance!$I$5:$I$198,A35,CashAdvance!$C$5:$C$198,12)</f>
        <v>0</v>
      </c>
      <c r="G35" s="20">
        <f>SUMIFS('Cashbook '!$F$5:$F$139,'Cashbook '!$H$5:$H$139,A35,'Cashbook '!$B$5:$B$139,1)+SUMIFS('Bank '!$F$5:$F$30,'Bank '!$H$5:$H$30,A35,'Bank '!$B$5:$B$30,1)+SUMIFS(CashAdvance!$G$5:$G$198,CashAdvance!$I$5:$I$198,A35,CashAdvance!$C$5:$C$198,1)</f>
        <v>0</v>
      </c>
      <c r="H35" s="20">
        <f>SUMIFS('Cashbook '!$F$5:$F$139,'Cashbook '!$H$5:$H$139,A35,'Cashbook '!$B$5:$B$139,2)+SUMIFS('Bank '!$F$5:$F$30,'Bank '!$H$5:$H$30,A35,'Bank '!$B$5:$B$30,2)+SUMIFS(CashAdvance!$G$5:$G$198,CashAdvance!$I$5:$I$198,A35,CashAdvance!$C$5:$C$198,2)</f>
        <v>0</v>
      </c>
      <c r="I35" s="20">
        <f>SUMIFS('Cashbook '!$F$5:$F$139,'Cashbook '!$H$5:$H$139,A35,'Cashbook '!$B$5:$B$139,3)+SUMIFS('Bank '!$F$5:$F$30,'Bank '!$H$5:$H$30,A35,'Bank '!$B$5:$B$30,3)+SUMIFS(CashAdvance!$G$5:$G$198,CashAdvance!$I$5:$I$198,A35,CashAdvance!$C$5:$C$198,3)</f>
        <v>0</v>
      </c>
      <c r="J35" s="20">
        <f t="shared" si="4"/>
        <v>60000</v>
      </c>
      <c r="K35" s="4">
        <v>150000</v>
      </c>
      <c r="L35" s="7">
        <f t="shared" si="7"/>
        <v>0.4</v>
      </c>
    </row>
    <row r="36" spans="1:12" ht="15.75" customHeight="1" outlineLevel="1">
      <c r="A36" s="143" t="s">
        <v>292</v>
      </c>
      <c r="B36" s="3"/>
      <c r="C36" s="50" t="s">
        <v>97</v>
      </c>
      <c r="D36" s="20">
        <f>SUMIFS('Cashbook '!$F$5:$F$139,'Cashbook '!$H$5:$H$139,A36,'Cashbook '!$B$5:$B$139,10)+SUMIFS('Bank '!$F$5:$F$30,'Bank '!$H$5:$H$30,A36,'Bank '!$B$5:$B$30,10)+SUMIFS(CashAdvance!$G$5:$G$198,CashAdvance!$I$5:$I$198,A36,CashAdvance!$C$5:$C$198,10)</f>
        <v>0</v>
      </c>
      <c r="E36" s="20">
        <f>SUMIFS('Cashbook '!$F$5:$F$139,'Cashbook '!$H$5:$H$139,A36,'Cashbook '!$B$5:$B$139,11)+SUMIFS('Bank '!$F$5:$F$30,'Bank '!$H$5:$H$30,A36,'Bank '!$B$5:$B$30,11)+SUMIFS(CashAdvance!$G$5:$G$198,CashAdvance!$I$5:$I$198,A36,CashAdvance!$C$5:$C$198,11)</f>
        <v>222000</v>
      </c>
      <c r="F36" s="20">
        <f>SUMIFS('Cashbook '!$F$5:$F$139,'Cashbook '!$H$5:$H$139,A36,'Cashbook '!$B$5:$B$139,12)+SUMIFS('Bank '!$F$5:$F$30,'Bank '!$H$5:$H$30,A36,'Bank '!$B$5:$B$30,12)+SUMIFS(CashAdvance!$G$5:$G$198,CashAdvance!$I$5:$I$198,A36,CashAdvance!$C$5:$C$198,12)</f>
        <v>0</v>
      </c>
      <c r="G36" s="20">
        <f>SUMIFS('Cashbook '!$F$5:$F$139,'Cashbook '!$H$5:$H$139,A36,'Cashbook '!$B$5:$B$139,1)+SUMIFS('Bank '!$F$5:$F$30,'Bank '!$H$5:$H$30,A36,'Bank '!$B$5:$B$30,1)+SUMIFS(CashAdvance!$G$5:$G$198,CashAdvance!$I$5:$I$198,A36,CashAdvance!$C$5:$C$198,1)</f>
        <v>0</v>
      </c>
      <c r="H36" s="20">
        <f>SUMIFS('Cashbook '!$F$5:$F$139,'Cashbook '!$H$5:$H$139,A36,'Cashbook '!$B$5:$B$139,2)+SUMIFS('Bank '!$F$5:$F$30,'Bank '!$H$5:$H$30,A36,'Bank '!$B$5:$B$30,2)+SUMIFS(CashAdvance!$G$5:$G$198,CashAdvance!$I$5:$I$198,A36,CashAdvance!$C$5:$C$198,2)</f>
        <v>0</v>
      </c>
      <c r="I36" s="20">
        <f>SUMIFS('Cashbook '!$F$5:$F$139,'Cashbook '!$H$5:$H$139,A36,'Cashbook '!$B$5:$B$139,3)+SUMIFS('Bank '!$F$5:$F$30,'Bank '!$H$5:$H$30,A36,'Bank '!$B$5:$B$30,3)+SUMIFS(CashAdvance!$G$5:$G$198,CashAdvance!$I$5:$I$198,A36,CashAdvance!$C$5:$C$198,3)</f>
        <v>0</v>
      </c>
      <c r="J36" s="20">
        <f t="shared" si="4"/>
        <v>222000</v>
      </c>
      <c r="K36" s="4">
        <v>360000</v>
      </c>
      <c r="L36" s="7">
        <f t="shared" si="7"/>
        <v>0.6166666666666667</v>
      </c>
    </row>
    <row r="37" spans="1:12" ht="15.75" customHeight="1">
      <c r="A37" s="144" t="s">
        <v>251</v>
      </c>
      <c r="B37" s="145" t="s">
        <v>108</v>
      </c>
      <c r="C37" s="145"/>
      <c r="D37" s="146">
        <f t="shared" ref="D37:I37" si="10">SUM(D38:D39)</f>
        <v>0</v>
      </c>
      <c r="E37" s="146">
        <f t="shared" si="10"/>
        <v>0</v>
      </c>
      <c r="F37" s="146">
        <f t="shared" si="10"/>
        <v>0</v>
      </c>
      <c r="G37" s="146">
        <f t="shared" si="10"/>
        <v>0</v>
      </c>
      <c r="H37" s="146">
        <f t="shared" si="10"/>
        <v>0</v>
      </c>
      <c r="I37" s="146">
        <f t="shared" si="10"/>
        <v>0</v>
      </c>
      <c r="J37" s="146">
        <f t="shared" si="4"/>
        <v>0</v>
      </c>
      <c r="K37" s="146">
        <f>SUM(E37:J37)</f>
        <v>0</v>
      </c>
      <c r="L37" s="147"/>
    </row>
    <row r="38" spans="1:12" ht="15.75" hidden="1" customHeight="1" outlineLevel="1">
      <c r="A38" s="148" t="s">
        <v>294</v>
      </c>
      <c r="B38" s="149"/>
      <c r="C38" s="150" t="s">
        <v>98</v>
      </c>
      <c r="D38" s="151">
        <f>SUMIFS('Cashbook '!$F$5:$F$139,'Cashbook '!$H$5:$H$139,A38,'Cashbook '!$B$5:$B$139,10)+SUMIFS('Bank '!$F$5:$F$30,'Bank '!$H$5:$H$30,A38,'Bank '!$B$5:$B$30,10)+SUMIFS(CashAdvance!$G$5:$G$198,CashAdvance!$I$5:$I$198,A38,CashAdvance!$C$5:$C$198,10)</f>
        <v>0</v>
      </c>
      <c r="E38" s="151">
        <f>SUMIFS('Cashbook '!$F$5:$F$139,'Cashbook '!$H$5:$H$139,A38,'Cashbook '!$B$5:$B$139,11)+SUMIFS('Bank '!$F$5:$F$30,'Bank '!$H$5:$H$30,A38,'Bank '!$B$5:$B$30,11)+SUMIFS(CashAdvance!$G$5:$G$198,CashAdvance!$I$5:$I$198,A38,CashAdvance!$C$5:$C$198,11)</f>
        <v>0</v>
      </c>
      <c r="F38" s="151">
        <f>SUMIFS('Cashbook '!$F$5:$F$139,'Cashbook '!$H$5:$H$139,A38,'Cashbook '!$B$5:$B$139,12)+SUMIFS('Bank '!$F$5:$F$30,'Bank '!$H$5:$H$30,A38,'Bank '!$B$5:$B$30,12)+SUMIFS(CashAdvance!$G$5:$G$198,CashAdvance!$I$5:$I$198,A38,CashAdvance!$C$5:$C$198,12)</f>
        <v>0</v>
      </c>
      <c r="G38" s="151">
        <f>SUMIFS('Cashbook '!$F$5:$F$139,'Cashbook '!$H$5:$H$139,A38,'Cashbook '!$B$5:$B$139,1)+SUMIFS('Bank '!$F$5:$F$30,'Bank '!$H$5:$H$30,A38,'Bank '!$B$5:$B$30,1)+SUMIFS(CashAdvance!$G$5:$G$198,CashAdvance!$I$5:$I$198,A38,CashAdvance!$C$5:$C$198,1)</f>
        <v>0</v>
      </c>
      <c r="H38" s="151">
        <f>SUMIFS('Cashbook '!$F$5:$F$139,'Cashbook '!$H$5:$H$139,A38,'Cashbook '!$B$5:$B$139,2)+SUMIFS('Bank '!$F$5:$F$30,'Bank '!$H$5:$H$30,A38,'Bank '!$B$5:$B$30,2)+SUMIFS(CashAdvance!$G$5:$G$198,CashAdvance!$I$5:$I$198,A38,CashAdvance!$C$5:$C$198,2)</f>
        <v>0</v>
      </c>
      <c r="I38" s="151">
        <f>SUMIFS('Cashbook '!$F$5:$F$139,'Cashbook '!$H$5:$H$139,A38,'Cashbook '!$B$5:$B$139,3)+SUMIFS('Bank '!$F$5:$F$30,'Bank '!$H$5:$H$30,A38,'Bank '!$B$5:$B$30,3)+SUMIFS(CashAdvance!$G$5:$G$198,CashAdvance!$I$5:$I$198,A38,CashAdvance!$C$5:$C$198,3)</f>
        <v>0</v>
      </c>
      <c r="J38" s="151">
        <f t="shared" si="4"/>
        <v>0</v>
      </c>
      <c r="K38" s="152">
        <v>0</v>
      </c>
      <c r="L38" s="153"/>
    </row>
    <row r="39" spans="1:12" ht="15.75" hidden="1" customHeight="1" outlineLevel="1">
      <c r="A39" s="148" t="s">
        <v>295</v>
      </c>
      <c r="B39" s="149"/>
      <c r="C39" s="150" t="s">
        <v>99</v>
      </c>
      <c r="D39" s="151">
        <f>SUMIFS('Cashbook '!$F$5:$F$139,'Cashbook '!$H$5:$H$139,A39,'Cashbook '!$B$5:$B$139,10)+SUMIFS('Bank '!$F$5:$F$30,'Bank '!$H$5:$H$30,A39,'Bank '!$B$5:$B$30,10)+SUMIFS(CashAdvance!$G$5:$G$198,CashAdvance!$I$5:$I$198,A39,CashAdvance!$C$5:$C$198,10)</f>
        <v>0</v>
      </c>
      <c r="E39" s="151">
        <f>SUMIFS('Cashbook '!$F$5:$F$139,'Cashbook '!$H$5:$H$139,A39,'Cashbook '!$B$5:$B$139,11)+SUMIFS('Bank '!$F$5:$F$30,'Bank '!$H$5:$H$30,A39,'Bank '!$B$5:$B$30,11)+SUMIFS(CashAdvance!$G$5:$G$198,CashAdvance!$I$5:$I$198,A39,CashAdvance!$C$5:$C$198,11)</f>
        <v>0</v>
      </c>
      <c r="F39" s="151">
        <f>SUMIFS('Cashbook '!$F$5:$F$139,'Cashbook '!$H$5:$H$139,A39,'Cashbook '!$B$5:$B$139,12)+SUMIFS('Bank '!$F$5:$F$30,'Bank '!$H$5:$H$30,A39,'Bank '!$B$5:$B$30,12)+SUMIFS(CashAdvance!$G$5:$G$198,CashAdvance!$I$5:$I$198,A39,CashAdvance!$C$5:$C$198,12)</f>
        <v>0</v>
      </c>
      <c r="G39" s="151">
        <f>SUMIFS('Cashbook '!$F$5:$F$139,'Cashbook '!$H$5:$H$139,A39,'Cashbook '!$B$5:$B$139,1)+SUMIFS('Bank '!$F$5:$F$30,'Bank '!$H$5:$H$30,A39,'Bank '!$B$5:$B$30,1)+SUMIFS(CashAdvance!$G$5:$G$198,CashAdvance!$I$5:$I$198,A39,CashAdvance!$C$5:$C$198,1)</f>
        <v>0</v>
      </c>
      <c r="H39" s="151">
        <f>SUMIFS('Cashbook '!$F$5:$F$139,'Cashbook '!$H$5:$H$139,A39,'Cashbook '!$B$5:$B$139,2)+SUMIFS('Bank '!$F$5:$F$30,'Bank '!$H$5:$H$30,A39,'Bank '!$B$5:$B$30,2)+SUMIFS(CashAdvance!$G$5:$G$198,CashAdvance!$I$5:$I$198,A39,CashAdvance!$C$5:$C$198,2)</f>
        <v>0</v>
      </c>
      <c r="I39" s="151">
        <f>SUMIFS('Cashbook '!$F$5:$F$139,'Cashbook '!$H$5:$H$139,A39,'Cashbook '!$B$5:$B$139,3)+SUMIFS('Bank '!$F$5:$F$30,'Bank '!$H$5:$H$30,A39,'Bank '!$B$5:$B$30,3)+SUMIFS(CashAdvance!$G$5:$G$198,CashAdvance!$I$5:$I$198,A39,CashAdvance!$C$5:$C$198,3)</f>
        <v>0</v>
      </c>
      <c r="J39" s="151">
        <f t="shared" si="4"/>
        <v>0</v>
      </c>
      <c r="K39" s="152">
        <v>0</v>
      </c>
      <c r="L39" s="153"/>
    </row>
    <row r="40" spans="1:12" ht="15.75" hidden="1" customHeight="1" outlineLevel="1">
      <c r="A40" s="148" t="s">
        <v>296</v>
      </c>
      <c r="B40" s="149" t="s">
        <v>107</v>
      </c>
      <c r="C40" s="150"/>
      <c r="D40" s="151">
        <f>SUMIFS('Cashbook '!$F$5:$F$139,'Cashbook '!$H$5:$H$139,A40,'Cashbook '!$B$5:$B$139,10)+SUMIFS('Bank '!$F$5:$F$30,'Bank '!$H$5:$H$30,A40,'Bank '!$B$5:$B$30,10)+SUMIFS(CashAdvance!$G$5:$G$198,CashAdvance!$I$5:$I$198,A40,CashAdvance!$C$5:$C$198,10)</f>
        <v>0</v>
      </c>
      <c r="E40" s="151">
        <f>SUMIFS('Cashbook '!$F$5:$F$139,'Cashbook '!$H$5:$H$139,A40,'Cashbook '!$B$5:$B$139,11)+SUMIFS('Bank '!$F$5:$F$30,'Bank '!$H$5:$H$30,A40,'Bank '!$B$5:$B$30,11)+SUMIFS(CashAdvance!$G$5:$G$198,CashAdvance!$I$5:$I$198,A40,CashAdvance!$C$5:$C$198,11)</f>
        <v>0</v>
      </c>
      <c r="F40" s="151">
        <f>SUMIFS('Cashbook '!$F$5:$F$139,'Cashbook '!$H$5:$H$139,A40,'Cashbook '!$B$5:$B$139,12)+SUMIFS('Bank '!$F$5:$F$30,'Bank '!$H$5:$H$30,A40,'Bank '!$B$5:$B$30,12)+SUMIFS(CashAdvance!$G$5:$G$198,CashAdvance!$I$5:$I$198,A40,CashAdvance!$C$5:$C$198,12)</f>
        <v>0</v>
      </c>
      <c r="G40" s="151">
        <f>SUMIFS('Cashbook '!$F$5:$F$139,'Cashbook '!$H$5:$H$139,A40,'Cashbook '!$B$5:$B$139,1)+SUMIFS('Bank '!$F$5:$F$30,'Bank '!$H$5:$H$30,A40,'Bank '!$B$5:$B$30,1)+SUMIFS(CashAdvance!$G$5:$G$198,CashAdvance!$I$5:$I$198,A40,CashAdvance!$C$5:$C$198,1)</f>
        <v>0</v>
      </c>
      <c r="H40" s="151">
        <f>SUMIFS('Cashbook '!$F$5:$F$139,'Cashbook '!$H$5:$H$139,A40,'Cashbook '!$B$5:$B$139,2)+SUMIFS('Bank '!$F$5:$F$30,'Bank '!$H$5:$H$30,A40,'Bank '!$B$5:$B$30,2)+SUMIFS(CashAdvance!$G$5:$G$198,CashAdvance!$I$5:$I$198,A40,CashAdvance!$C$5:$C$198,2)</f>
        <v>0</v>
      </c>
      <c r="I40" s="151">
        <f>SUMIFS('Cashbook '!$F$5:$F$139,'Cashbook '!$H$5:$H$139,A40,'Cashbook '!$B$5:$B$139,3)+SUMIFS('Bank '!$F$5:$F$30,'Bank '!$H$5:$H$30,A40,'Bank '!$B$5:$B$30,3)+SUMIFS(CashAdvance!$G$5:$G$198,CashAdvance!$I$5:$I$198,A40,CashAdvance!$C$5:$C$198,3)</f>
        <v>0</v>
      </c>
      <c r="J40" s="151">
        <f t="shared" si="4"/>
        <v>0</v>
      </c>
      <c r="K40" s="152">
        <v>0</v>
      </c>
      <c r="L40" s="153"/>
    </row>
    <row r="41" spans="1:12" ht="15.75" hidden="1" customHeight="1" outlineLevel="1">
      <c r="A41" s="148" t="s">
        <v>299</v>
      </c>
      <c r="B41" s="149"/>
      <c r="C41" s="150"/>
      <c r="D41" s="151"/>
      <c r="E41" s="151"/>
      <c r="F41" s="151"/>
      <c r="G41" s="151"/>
      <c r="H41" s="151"/>
      <c r="I41" s="151"/>
      <c r="J41" s="151"/>
      <c r="K41" s="152">
        <v>0</v>
      </c>
      <c r="L41" s="153"/>
    </row>
    <row r="42" spans="1:12" ht="21" customHeight="1" collapsed="1">
      <c r="A42" s="418" t="s">
        <v>138</v>
      </c>
      <c r="B42" s="418"/>
      <c r="C42" s="419"/>
      <c r="D42" s="51">
        <f>D7-D14</f>
        <v>26730900</v>
      </c>
      <c r="E42" s="51">
        <f t="shared" ref="E42:I42" si="11">E7-E14</f>
        <v>-1885600</v>
      </c>
      <c r="F42" s="51">
        <f t="shared" si="11"/>
        <v>-5351700</v>
      </c>
      <c r="G42" s="51">
        <f t="shared" si="11"/>
        <v>-5996800</v>
      </c>
      <c r="H42" s="51">
        <f t="shared" si="11"/>
        <v>-1508800</v>
      </c>
      <c r="I42" s="51">
        <f t="shared" si="11"/>
        <v>8719600</v>
      </c>
      <c r="J42" s="51">
        <f>J7-J14-J37</f>
        <v>20707600</v>
      </c>
      <c r="K42" s="52">
        <f>K7-K14-K37</f>
        <v>35470000</v>
      </c>
      <c r="L42" s="53">
        <f t="shared" si="7"/>
        <v>0.5838060332675501</v>
      </c>
    </row>
  </sheetData>
  <sheetProtection selectLockedCells="1" selectUnlockedCells="1"/>
  <mergeCells count="7">
    <mergeCell ref="L4:L5"/>
    <mergeCell ref="A42:C42"/>
    <mergeCell ref="A1:K1"/>
    <mergeCell ref="A2:K2"/>
    <mergeCell ref="J4:J5"/>
    <mergeCell ref="K4:K5"/>
    <mergeCell ref="D4:I4"/>
  </mergeCells>
  <pageMargins left="0.17" right="0.17" top="0.42" bottom="0.25" header="0.24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zoomScale="80" zoomScaleNormal="80" workbookViewId="0">
      <selection sqref="A1:D61"/>
    </sheetView>
  </sheetViews>
  <sheetFormatPr defaultRowHeight="15" outlineLevelRow="1"/>
  <cols>
    <col min="1" max="1" width="9.140625" style="80"/>
    <col min="2" max="2" width="51.140625" style="80" customWidth="1"/>
    <col min="3" max="5" width="17.42578125" style="80" customWidth="1"/>
    <col min="6" max="6" width="12.28515625" style="80" customWidth="1"/>
    <col min="7" max="16384" width="9.140625" style="80"/>
  </cols>
  <sheetData>
    <row r="1" spans="1:4" ht="41.25">
      <c r="A1" s="232" t="s">
        <v>321</v>
      </c>
    </row>
    <row r="2" spans="1:4" ht="38.25" customHeight="1">
      <c r="A2" s="428" t="s">
        <v>110</v>
      </c>
      <c r="B2" s="428"/>
      <c r="C2" s="428"/>
      <c r="D2" s="428"/>
    </row>
    <row r="3" spans="1:4" ht="38.25" customHeight="1">
      <c r="A3" s="233" t="s">
        <v>385</v>
      </c>
    </row>
    <row r="4" spans="1:4" ht="38.25" customHeight="1">
      <c r="A4" s="402"/>
      <c r="B4" s="403"/>
      <c r="C4" s="234" t="s">
        <v>139</v>
      </c>
      <c r="D4" s="235">
        <v>4050</v>
      </c>
    </row>
    <row r="5" spans="1:4" ht="30" customHeight="1">
      <c r="A5" s="255"/>
      <c r="B5" s="202"/>
      <c r="C5" s="203" t="s">
        <v>111</v>
      </c>
      <c r="D5" s="204" t="s">
        <v>324</v>
      </c>
    </row>
    <row r="6" spans="1:4" ht="30" customHeight="1">
      <c r="A6" s="253" t="s">
        <v>322</v>
      </c>
      <c r="B6" s="266" t="s">
        <v>112</v>
      </c>
      <c r="C6" s="278">
        <f>SUM(C8:C10,C15)</f>
        <v>6626000</v>
      </c>
      <c r="D6" s="279">
        <f>C6/D4</f>
        <v>1636.0493827160494</v>
      </c>
    </row>
    <row r="7" spans="1:4" ht="24" customHeight="1">
      <c r="A7" s="280"/>
      <c r="B7" s="275" t="s">
        <v>384</v>
      </c>
      <c r="C7" s="276"/>
      <c r="D7" s="277"/>
    </row>
    <row r="8" spans="1:4" ht="30" customHeight="1">
      <c r="A8" s="256" t="s">
        <v>254</v>
      </c>
      <c r="B8" s="265" t="s">
        <v>113</v>
      </c>
      <c r="C8" s="206">
        <f>'Bank '!G5</f>
        <v>20200</v>
      </c>
      <c r="D8" s="207">
        <f t="shared" ref="D8:D49" si="0">C8/$D$4</f>
        <v>4.9876543209876543</v>
      </c>
    </row>
    <row r="9" spans="1:4" ht="30" customHeight="1">
      <c r="A9" s="256" t="s">
        <v>314</v>
      </c>
      <c r="B9" s="265" t="s">
        <v>114</v>
      </c>
      <c r="C9" s="236">
        <f>'Cashbook '!G5</f>
        <v>6605800</v>
      </c>
      <c r="D9" s="207">
        <f t="shared" si="0"/>
        <v>1631.0617283950617</v>
      </c>
    </row>
    <row r="10" spans="1:4" ht="30" customHeight="1">
      <c r="A10" s="256" t="s">
        <v>339</v>
      </c>
      <c r="B10" s="231" t="s">
        <v>135</v>
      </c>
      <c r="C10" s="236">
        <f>SUM(C11:C14)</f>
        <v>0</v>
      </c>
      <c r="D10" s="207">
        <f t="shared" si="0"/>
        <v>0</v>
      </c>
    </row>
    <row r="11" spans="1:4" ht="30" hidden="1" customHeight="1" outlineLevel="1">
      <c r="A11" s="330" t="s">
        <v>316</v>
      </c>
      <c r="B11" s="331" t="s">
        <v>115</v>
      </c>
      <c r="C11" s="216">
        <f>SUMIFS('Cashbook '!$F$5:$F$139,'Cashbook '!$H$5:$H$139,'Final Statement'!A11)-SUMIF(CashAdvance!$I$5:$I$198,A11,CashAdvance!$F$5:$F$198)</f>
        <v>0</v>
      </c>
      <c r="D11" s="215">
        <f t="shared" si="0"/>
        <v>0</v>
      </c>
    </row>
    <row r="12" spans="1:4" ht="30" hidden="1" customHeight="1" outlineLevel="1">
      <c r="A12" s="330" t="s">
        <v>317</v>
      </c>
      <c r="B12" s="331" t="s">
        <v>116</v>
      </c>
      <c r="C12" s="216">
        <f>SUMIFS('Cashbook '!$F$5:$F$139,'Cashbook '!$H$5:$H$139,'Final Statement'!A12)-SUMIF(CashAdvance!$I$5:$I$198,A12,CashAdvance!$F$5:$F$198)</f>
        <v>0</v>
      </c>
      <c r="D12" s="215">
        <f t="shared" si="0"/>
        <v>0</v>
      </c>
    </row>
    <row r="13" spans="1:4" ht="30" hidden="1" customHeight="1" outlineLevel="1">
      <c r="A13" s="330" t="s">
        <v>319</v>
      </c>
      <c r="B13" s="331" t="s">
        <v>117</v>
      </c>
      <c r="C13" s="216">
        <f>SUMIFS('Cashbook '!$F$5:$F$139,'Cashbook '!$H$5:$H$139,'Final Statement'!A13)-SUMIF(CashAdvance!$I$5:$I$198,A13,CashAdvance!$F$5:$F$198)</f>
        <v>0</v>
      </c>
      <c r="D13" s="215">
        <f t="shared" si="0"/>
        <v>0</v>
      </c>
    </row>
    <row r="14" spans="1:4" ht="30" hidden="1" customHeight="1" outlineLevel="1">
      <c r="A14" s="330" t="s">
        <v>318</v>
      </c>
      <c r="B14" s="331" t="s">
        <v>118</v>
      </c>
      <c r="C14" s="216">
        <f>SUMIFS('Cashbook '!$F$5:$F$139,'Cashbook '!$H$5:$H$139,'Final Statement'!A14)-SUMIF(CashAdvance!$I$5:$I$198,A14,CashAdvance!$F$5:$F$198)</f>
        <v>0</v>
      </c>
      <c r="D14" s="215">
        <f t="shared" si="0"/>
        <v>0</v>
      </c>
    </row>
    <row r="15" spans="1:4" ht="30" customHeight="1" collapsed="1">
      <c r="A15" s="256" t="s">
        <v>340</v>
      </c>
      <c r="B15" s="231" t="s">
        <v>383</v>
      </c>
      <c r="C15" s="236"/>
      <c r="D15" s="207">
        <f t="shared" si="0"/>
        <v>0</v>
      </c>
    </row>
    <row r="16" spans="1:4" ht="30" customHeight="1">
      <c r="A16" s="251" t="s">
        <v>249</v>
      </c>
      <c r="B16" s="267" t="s">
        <v>57</v>
      </c>
      <c r="C16" s="208">
        <f>SUM(C17:C22)</f>
        <v>37187600</v>
      </c>
      <c r="D16" s="209">
        <f t="shared" si="0"/>
        <v>9182.1234567901229</v>
      </c>
    </row>
    <row r="17" spans="1:5" ht="30" customHeight="1" outlineLevel="1">
      <c r="A17" s="257" t="s">
        <v>265</v>
      </c>
      <c r="B17" s="268" t="s">
        <v>119</v>
      </c>
      <c r="C17" s="210">
        <f>'Monthly Expenses&amp;Incomes'!J8</f>
        <v>9961200</v>
      </c>
      <c r="D17" s="211">
        <f t="shared" si="0"/>
        <v>2459.5555555555557</v>
      </c>
    </row>
    <row r="18" spans="1:5" ht="30" customHeight="1" outlineLevel="1">
      <c r="A18" s="257" t="s">
        <v>266</v>
      </c>
      <c r="B18" s="268" t="s">
        <v>120</v>
      </c>
      <c r="C18" s="210">
        <f>'Monthly Expenses&amp;Incomes'!J9</f>
        <v>0</v>
      </c>
      <c r="D18" s="211">
        <f t="shared" si="0"/>
        <v>0</v>
      </c>
    </row>
    <row r="19" spans="1:5" ht="30" customHeight="1" outlineLevel="1">
      <c r="A19" s="257" t="s">
        <v>267</v>
      </c>
      <c r="B19" s="268" t="s">
        <v>77</v>
      </c>
      <c r="C19" s="210">
        <f>'Monthly Expenses&amp;Incomes'!J10</f>
        <v>0</v>
      </c>
      <c r="D19" s="211">
        <f t="shared" si="0"/>
        <v>0</v>
      </c>
    </row>
    <row r="20" spans="1:5" ht="30" customHeight="1" outlineLevel="1">
      <c r="A20" s="257" t="s">
        <v>268</v>
      </c>
      <c r="B20" s="268" t="s">
        <v>78</v>
      </c>
      <c r="C20" s="210">
        <f>'Monthly Expenses&amp;Incomes'!J11</f>
        <v>26863200</v>
      </c>
      <c r="D20" s="211">
        <f t="shared" si="0"/>
        <v>6632.8888888888887</v>
      </c>
    </row>
    <row r="21" spans="1:5" ht="30" customHeight="1" outlineLevel="1">
      <c r="A21" s="257" t="s">
        <v>269</v>
      </c>
      <c r="B21" s="269" t="s">
        <v>121</v>
      </c>
      <c r="C21" s="210">
        <f>'Monthly Expenses&amp;Incomes'!J12</f>
        <v>363200</v>
      </c>
      <c r="D21" s="211">
        <f t="shared" si="0"/>
        <v>89.679012345679013</v>
      </c>
    </row>
    <row r="22" spans="1:5" ht="30" customHeight="1" outlineLevel="1">
      <c r="A22" s="257" t="s">
        <v>270</v>
      </c>
      <c r="B22" s="268" t="s">
        <v>122</v>
      </c>
      <c r="C22" s="210">
        <f>'Monthly Expenses&amp;Incomes'!J13</f>
        <v>0</v>
      </c>
      <c r="D22" s="211">
        <f t="shared" si="0"/>
        <v>0</v>
      </c>
    </row>
    <row r="23" spans="1:5" ht="30" customHeight="1">
      <c r="A23" s="252" t="s">
        <v>250</v>
      </c>
      <c r="B23" s="270" t="s">
        <v>123</v>
      </c>
      <c r="C23" s="212">
        <f>C24+C32+C36+C40+C49+C46</f>
        <v>16480000</v>
      </c>
      <c r="D23" s="213">
        <f t="shared" si="0"/>
        <v>4069.1358024691358</v>
      </c>
    </row>
    <row r="24" spans="1:5" ht="30" customHeight="1">
      <c r="A24" s="258" t="s">
        <v>271</v>
      </c>
      <c r="B24" s="271" t="s">
        <v>104</v>
      </c>
      <c r="C24" s="246">
        <f>'Monthly Expenses&amp;Incomes'!J15</f>
        <v>1260000</v>
      </c>
      <c r="D24" s="247">
        <f t="shared" si="0"/>
        <v>311.11111111111109</v>
      </c>
    </row>
    <row r="25" spans="1:5" ht="30" hidden="1" customHeight="1" outlineLevel="1">
      <c r="A25" s="259" t="s">
        <v>272</v>
      </c>
      <c r="B25" s="272" t="s">
        <v>81</v>
      </c>
      <c r="C25" s="248">
        <f>'Monthly Expenses&amp;Incomes'!J16</f>
        <v>140000</v>
      </c>
      <c r="D25" s="249">
        <f t="shared" si="0"/>
        <v>34.567901234567898</v>
      </c>
    </row>
    <row r="26" spans="1:5" ht="30" hidden="1" customHeight="1" outlineLevel="1">
      <c r="A26" s="259" t="s">
        <v>273</v>
      </c>
      <c r="B26" s="272" t="s">
        <v>124</v>
      </c>
      <c r="C26" s="248">
        <f>'Monthly Expenses&amp;Incomes'!J17</f>
        <v>390000</v>
      </c>
      <c r="D26" s="249">
        <f t="shared" si="0"/>
        <v>96.296296296296291</v>
      </c>
    </row>
    <row r="27" spans="1:5" ht="30" hidden="1" customHeight="1" outlineLevel="1">
      <c r="A27" s="259" t="s">
        <v>274</v>
      </c>
      <c r="B27" s="272" t="s">
        <v>125</v>
      </c>
      <c r="C27" s="248">
        <f>'Monthly Expenses&amp;Incomes'!J18</f>
        <v>300000</v>
      </c>
      <c r="D27" s="249">
        <f t="shared" si="0"/>
        <v>74.074074074074076</v>
      </c>
    </row>
    <row r="28" spans="1:5" ht="30" hidden="1" customHeight="1" outlineLevel="1">
      <c r="A28" s="259" t="s">
        <v>275</v>
      </c>
      <c r="B28" s="272" t="s">
        <v>126</v>
      </c>
      <c r="C28" s="248">
        <f>'Monthly Expenses&amp;Incomes'!J19</f>
        <v>300000</v>
      </c>
      <c r="D28" s="249">
        <f t="shared" si="0"/>
        <v>74.074074074074076</v>
      </c>
      <c r="E28" s="237"/>
    </row>
    <row r="29" spans="1:5" s="83" customFormat="1" ht="30" hidden="1" customHeight="1" outlineLevel="1">
      <c r="A29" s="259" t="s">
        <v>276</v>
      </c>
      <c r="B29" s="272" t="s">
        <v>84</v>
      </c>
      <c r="C29" s="248">
        <f>'Monthly Expenses&amp;Incomes'!J20</f>
        <v>100000</v>
      </c>
      <c r="D29" s="249">
        <f t="shared" si="0"/>
        <v>24.691358024691358</v>
      </c>
    </row>
    <row r="30" spans="1:5" ht="30" hidden="1" customHeight="1" outlineLevel="1">
      <c r="A30" s="259" t="s">
        <v>277</v>
      </c>
      <c r="B30" s="272" t="s">
        <v>85</v>
      </c>
      <c r="C30" s="248">
        <f>'Monthly Expenses&amp;Incomes'!J21</f>
        <v>0</v>
      </c>
      <c r="D30" s="249">
        <f t="shared" si="0"/>
        <v>0</v>
      </c>
    </row>
    <row r="31" spans="1:5" ht="30" hidden="1" customHeight="1" outlineLevel="1">
      <c r="A31" s="259" t="s">
        <v>278</v>
      </c>
      <c r="B31" s="272" t="s">
        <v>86</v>
      </c>
      <c r="C31" s="248">
        <f>'Monthly Expenses&amp;Incomes'!J22</f>
        <v>30000</v>
      </c>
      <c r="D31" s="249">
        <f t="shared" si="0"/>
        <v>7.4074074074074074</v>
      </c>
    </row>
    <row r="32" spans="1:5" ht="30" customHeight="1" collapsed="1">
      <c r="A32" s="258" t="s">
        <v>279</v>
      </c>
      <c r="B32" s="271" t="s">
        <v>337</v>
      </c>
      <c r="C32" s="246">
        <f>'Monthly Expenses&amp;Incomes'!J23</f>
        <v>2122500</v>
      </c>
      <c r="D32" s="247">
        <f t="shared" si="0"/>
        <v>524.07407407407402</v>
      </c>
    </row>
    <row r="33" spans="1:4" s="83" customFormat="1" ht="30" hidden="1" customHeight="1" outlineLevel="1">
      <c r="A33" s="259" t="s">
        <v>280</v>
      </c>
      <c r="B33" s="272" t="s">
        <v>127</v>
      </c>
      <c r="C33" s="248">
        <f>'Monthly Expenses&amp;Incomes'!J24</f>
        <v>426000</v>
      </c>
      <c r="D33" s="249">
        <f t="shared" si="0"/>
        <v>105.18518518518519</v>
      </c>
    </row>
    <row r="34" spans="1:4" ht="30" hidden="1" customHeight="1" outlineLevel="1">
      <c r="A34" s="259" t="s">
        <v>281</v>
      </c>
      <c r="B34" s="272" t="s">
        <v>128</v>
      </c>
      <c r="C34" s="248">
        <f>'Monthly Expenses&amp;Incomes'!J25</f>
        <v>696500</v>
      </c>
      <c r="D34" s="249">
        <f t="shared" si="0"/>
        <v>171.97530864197532</v>
      </c>
    </row>
    <row r="35" spans="1:4" ht="30" hidden="1" customHeight="1" outlineLevel="1">
      <c r="A35" s="259" t="s">
        <v>282</v>
      </c>
      <c r="B35" s="272" t="s">
        <v>89</v>
      </c>
      <c r="C35" s="248">
        <f>'Monthly Expenses&amp;Incomes'!J26</f>
        <v>1000000</v>
      </c>
      <c r="D35" s="249">
        <f t="shared" si="0"/>
        <v>246.91358024691357</v>
      </c>
    </row>
    <row r="36" spans="1:4" ht="30" customHeight="1" collapsed="1">
      <c r="A36" s="258" t="s">
        <v>283</v>
      </c>
      <c r="B36" s="271" t="s">
        <v>105</v>
      </c>
      <c r="C36" s="246">
        <f>'Monthly Expenses&amp;Incomes'!J27</f>
        <v>10203500</v>
      </c>
      <c r="D36" s="247">
        <f t="shared" si="0"/>
        <v>2519.3827160493829</v>
      </c>
    </row>
    <row r="37" spans="1:4" s="83" customFormat="1" ht="30" hidden="1" customHeight="1" outlineLevel="1">
      <c r="A37" s="259" t="s">
        <v>284</v>
      </c>
      <c r="B37" s="272" t="s">
        <v>129</v>
      </c>
      <c r="C37" s="248">
        <f>'Monthly Expenses&amp;Incomes'!J28</f>
        <v>132000</v>
      </c>
      <c r="D37" s="249">
        <f t="shared" si="0"/>
        <v>32.592592592592595</v>
      </c>
    </row>
    <row r="38" spans="1:4" ht="30" hidden="1" customHeight="1" outlineLevel="1">
      <c r="A38" s="259" t="s">
        <v>285</v>
      </c>
      <c r="B38" s="272" t="s">
        <v>45</v>
      </c>
      <c r="C38" s="248">
        <f>'Monthly Expenses&amp;Incomes'!J29</f>
        <v>9771500</v>
      </c>
      <c r="D38" s="249">
        <f t="shared" si="0"/>
        <v>2412.7160493827159</v>
      </c>
    </row>
    <row r="39" spans="1:4" ht="30" hidden="1" customHeight="1" outlineLevel="1">
      <c r="A39" s="259" t="s">
        <v>286</v>
      </c>
      <c r="B39" s="272" t="s">
        <v>92</v>
      </c>
      <c r="C39" s="248">
        <f>'Monthly Expenses&amp;Incomes'!J30</f>
        <v>300000</v>
      </c>
      <c r="D39" s="249">
        <f t="shared" si="0"/>
        <v>74.074074074074076</v>
      </c>
    </row>
    <row r="40" spans="1:4" ht="30" customHeight="1" collapsed="1">
      <c r="A40" s="258" t="s">
        <v>287</v>
      </c>
      <c r="B40" s="271" t="s">
        <v>130</v>
      </c>
      <c r="C40" s="246">
        <f>'Monthly Expenses&amp;Incomes'!J31</f>
        <v>2894000</v>
      </c>
      <c r="D40" s="247">
        <f t="shared" si="0"/>
        <v>714.5679012345679</v>
      </c>
    </row>
    <row r="41" spans="1:4" ht="30" hidden="1" customHeight="1" outlineLevel="1">
      <c r="A41" s="259" t="s">
        <v>288</v>
      </c>
      <c r="B41" s="273" t="s">
        <v>131</v>
      </c>
      <c r="C41" s="214">
        <f>'Monthly Expenses&amp;Incomes'!J32</f>
        <v>995000</v>
      </c>
      <c r="D41" s="215">
        <f t="shared" si="0"/>
        <v>245.67901234567901</v>
      </c>
    </row>
    <row r="42" spans="1:4" ht="30" hidden="1" customHeight="1" outlineLevel="1">
      <c r="A42" s="259" t="s">
        <v>289</v>
      </c>
      <c r="B42" s="273" t="s">
        <v>94</v>
      </c>
      <c r="C42" s="214">
        <f>'Monthly Expenses&amp;Incomes'!J33</f>
        <v>50000</v>
      </c>
      <c r="D42" s="215">
        <f t="shared" si="0"/>
        <v>12.345679012345679</v>
      </c>
    </row>
    <row r="43" spans="1:4" s="83" customFormat="1" ht="30" hidden="1" customHeight="1" outlineLevel="1">
      <c r="A43" s="259" t="s">
        <v>290</v>
      </c>
      <c r="B43" s="273" t="s">
        <v>95</v>
      </c>
      <c r="C43" s="214">
        <f>'Monthly Expenses&amp;Incomes'!J34</f>
        <v>1567000</v>
      </c>
      <c r="D43" s="215">
        <f t="shared" si="0"/>
        <v>386.91358024691357</v>
      </c>
    </row>
    <row r="44" spans="1:4" s="83" customFormat="1" ht="30" hidden="1" customHeight="1" outlineLevel="1">
      <c r="A44" s="259" t="s">
        <v>291</v>
      </c>
      <c r="B44" s="273" t="s">
        <v>96</v>
      </c>
      <c r="C44" s="214">
        <f>'Monthly Expenses&amp;Incomes'!J35</f>
        <v>60000</v>
      </c>
      <c r="D44" s="215">
        <f t="shared" si="0"/>
        <v>14.814814814814815</v>
      </c>
    </row>
    <row r="45" spans="1:4" ht="30" hidden="1" customHeight="1" outlineLevel="1">
      <c r="A45" s="259" t="s">
        <v>292</v>
      </c>
      <c r="B45" s="273" t="s">
        <v>97</v>
      </c>
      <c r="C45" s="216">
        <f>'Monthly Expenses&amp;Incomes'!J36</f>
        <v>222000</v>
      </c>
      <c r="D45" s="215">
        <f t="shared" si="0"/>
        <v>54.814814814814817</v>
      </c>
    </row>
    <row r="46" spans="1:4" s="83" customFormat="1" ht="30" customHeight="1" collapsed="1">
      <c r="A46" s="260" t="s">
        <v>251</v>
      </c>
      <c r="B46" s="274" t="s">
        <v>108</v>
      </c>
      <c r="C46" s="217">
        <f>'Monthly Expenses&amp;Incomes'!J37</f>
        <v>0</v>
      </c>
      <c r="D46" s="218">
        <f t="shared" si="0"/>
        <v>0</v>
      </c>
    </row>
    <row r="47" spans="1:4" ht="30" hidden="1" customHeight="1" outlineLevel="1">
      <c r="A47" s="261" t="s">
        <v>294</v>
      </c>
      <c r="B47" s="219" t="s">
        <v>98</v>
      </c>
      <c r="C47" s="220">
        <f>'Monthly Expenses&amp;Incomes'!J38</f>
        <v>0</v>
      </c>
      <c r="D47" s="221">
        <f t="shared" si="0"/>
        <v>0</v>
      </c>
    </row>
    <row r="48" spans="1:4" ht="30" hidden="1" customHeight="1" outlineLevel="1">
      <c r="A48" s="261" t="s">
        <v>295</v>
      </c>
      <c r="B48" s="219" t="s">
        <v>133</v>
      </c>
      <c r="C48" s="220">
        <f>'Monthly Expenses&amp;Incomes'!J39</f>
        <v>0</v>
      </c>
      <c r="D48" s="221">
        <f t="shared" si="0"/>
        <v>0</v>
      </c>
    </row>
    <row r="49" spans="1:5" ht="30" hidden="1" customHeight="1" outlineLevel="1">
      <c r="A49" s="261" t="s">
        <v>296</v>
      </c>
      <c r="B49" s="219" t="s">
        <v>132</v>
      </c>
      <c r="C49" s="220">
        <f>'Monthly Expenses&amp;Incomes'!J40</f>
        <v>0</v>
      </c>
      <c r="D49" s="221">
        <f t="shared" si="0"/>
        <v>0</v>
      </c>
    </row>
    <row r="50" spans="1:5" ht="30" hidden="1" customHeight="1" outlineLevel="1">
      <c r="A50" s="261" t="s">
        <v>299</v>
      </c>
      <c r="B50" s="219"/>
      <c r="C50" s="220"/>
      <c r="D50" s="221"/>
    </row>
    <row r="51" spans="1:5" ht="30" hidden="1" customHeight="1" collapsed="1">
      <c r="A51" s="262" t="s">
        <v>315</v>
      </c>
      <c r="B51" s="222" t="s">
        <v>387</v>
      </c>
      <c r="C51" s="223">
        <f>SUMIF('Cashbook '!H5:H181,A51,'Cashbook '!E5:E181)-SUMIF('Cashbook '!H5:H181,A51,'Cashbook '!F5:F181)+SUMIF('Bank '!H5:H30,A51,'Bank '!E5:E30)-SUMIF('Bank '!H5:H30,A51,'Bank '!F5:F30)</f>
        <v>0</v>
      </c>
      <c r="D51" s="224">
        <f>C51/$D$4</f>
        <v>0</v>
      </c>
      <c r="E51" s="343" t="b">
        <f>AND(C51=0)</f>
        <v>1</v>
      </c>
    </row>
    <row r="52" spans="1:5" ht="30" customHeight="1">
      <c r="A52" s="253" t="s">
        <v>323</v>
      </c>
      <c r="B52" s="266" t="s">
        <v>134</v>
      </c>
      <c r="C52" s="238">
        <f>SUM(C54:C56,C61)</f>
        <v>27333600</v>
      </c>
      <c r="D52" s="239">
        <f>C52/$D$4</f>
        <v>6749.0370370370374</v>
      </c>
    </row>
    <row r="53" spans="1:5" ht="21.75" customHeight="1">
      <c r="A53" s="254"/>
      <c r="B53" s="275" t="s">
        <v>386</v>
      </c>
      <c r="C53" s="276"/>
      <c r="D53" s="277"/>
    </row>
    <row r="54" spans="1:5" ht="30" customHeight="1">
      <c r="A54" s="263" t="s">
        <v>254</v>
      </c>
      <c r="B54" s="265" t="s">
        <v>113</v>
      </c>
      <c r="C54" s="206">
        <f>'Bank '!F31</f>
        <v>21068900</v>
      </c>
      <c r="D54" s="207">
        <f>C54/$D$4</f>
        <v>5202.1975308641977</v>
      </c>
    </row>
    <row r="55" spans="1:5" ht="30" customHeight="1">
      <c r="A55" s="263" t="s">
        <v>314</v>
      </c>
      <c r="B55" s="265" t="s">
        <v>114</v>
      </c>
      <c r="C55" s="206">
        <f>'Cashbook '!G140</f>
        <v>6264700</v>
      </c>
      <c r="D55" s="207">
        <f>C55/$D$4</f>
        <v>1546.8395061728395</v>
      </c>
    </row>
    <row r="56" spans="1:5" ht="30" customHeight="1">
      <c r="A56" s="264" t="s">
        <v>339</v>
      </c>
      <c r="B56" s="231" t="s">
        <v>135</v>
      </c>
      <c r="C56" s="206">
        <f>SUM(C57:C60)</f>
        <v>0</v>
      </c>
      <c r="D56" s="230">
        <f>SUM(D57:D60)</f>
        <v>0</v>
      </c>
      <c r="E56" s="84"/>
    </row>
    <row r="57" spans="1:5" ht="30" hidden="1" customHeight="1" outlineLevel="1">
      <c r="A57" s="332" t="s">
        <v>316</v>
      </c>
      <c r="B57" s="333" t="s">
        <v>116</v>
      </c>
      <c r="C57" s="216">
        <f>SUMIFS('Cashbook '!$F$5:$F$139,'Cashbook '!$H$5:$H$139,'Final Statement'!A57)-SUMIF(CashAdvance!$I$5:$I$198,A57,CashAdvance!$F$5:$F$198)</f>
        <v>0</v>
      </c>
      <c r="D57" s="334">
        <f>C57/$D$4</f>
        <v>0</v>
      </c>
    </row>
    <row r="58" spans="1:5" ht="30" hidden="1" customHeight="1" outlineLevel="1">
      <c r="A58" s="332" t="s">
        <v>317</v>
      </c>
      <c r="B58" s="333" t="s">
        <v>117</v>
      </c>
      <c r="C58" s="216">
        <f>SUMIFS('Cashbook '!$F$5:$F$139,'Cashbook '!$H$5:$H$139,'Final Statement'!A58)-SUMIF(CashAdvance!$I$5:$I$198,A58,CashAdvance!$F$5:$F$198)</f>
        <v>0</v>
      </c>
      <c r="D58" s="334">
        <f>C58/$D$4</f>
        <v>0</v>
      </c>
    </row>
    <row r="59" spans="1:5" ht="30" hidden="1" customHeight="1" outlineLevel="1">
      <c r="A59" s="332" t="s">
        <v>319</v>
      </c>
      <c r="B59" s="333" t="s">
        <v>136</v>
      </c>
      <c r="C59" s="216">
        <f>SUMIFS('Cashbook '!$F$5:$F$139,'Cashbook '!$H$5:$H$139,'Final Statement'!A59)-SUMIF(CashAdvance!$I$5:$I$198,A59,CashAdvance!$F$5:$F$198)</f>
        <v>0</v>
      </c>
      <c r="D59" s="334">
        <f>C59/$D$4</f>
        <v>0</v>
      </c>
    </row>
    <row r="60" spans="1:5" ht="30" hidden="1" customHeight="1" outlineLevel="1">
      <c r="A60" s="332" t="s">
        <v>318</v>
      </c>
      <c r="B60" s="333" t="s">
        <v>137</v>
      </c>
      <c r="C60" s="216">
        <f>SUMIFS('Cashbook '!$F$5:$F$139,'Cashbook '!$H$5:$H$139,'Final Statement'!A60)-SUMIF(CashAdvance!$I$5:$I$198,A60,CashAdvance!$F$5:$F$198)</f>
        <v>0</v>
      </c>
      <c r="D60" s="334">
        <f>C60/$D$4</f>
        <v>0</v>
      </c>
    </row>
    <row r="61" spans="1:5" ht="30" customHeight="1" collapsed="1">
      <c r="A61" s="256" t="s">
        <v>340</v>
      </c>
      <c r="B61" s="231" t="s">
        <v>383</v>
      </c>
      <c r="C61" s="236"/>
      <c r="D61" s="207">
        <f>C61/$D$4</f>
        <v>0</v>
      </c>
    </row>
    <row r="62" spans="1:5" s="335" customFormat="1" ht="30" customHeight="1">
      <c r="A62" s="340"/>
      <c r="B62" s="341"/>
      <c r="C62" s="344" t="b">
        <f>AND(C52-C6-C16+C23=0)</f>
        <v>1</v>
      </c>
      <c r="D62" s="342"/>
    </row>
    <row r="63" spans="1:5" ht="53.25" customHeight="1">
      <c r="A63" s="336"/>
      <c r="B63" s="337"/>
      <c r="C63" s="338">
        <f>C52-C6-C16+C23</f>
        <v>0</v>
      </c>
      <c r="D63" s="339"/>
    </row>
    <row r="64" spans="1:5" ht="30" customHeight="1">
      <c r="A64" s="250" t="s">
        <v>254</v>
      </c>
      <c r="B64" s="225" t="s">
        <v>112</v>
      </c>
      <c r="C64" s="226">
        <f>C6</f>
        <v>6626000</v>
      </c>
      <c r="D64" s="205">
        <f>C64/$D$4</f>
        <v>1636.0493827160494</v>
      </c>
    </row>
    <row r="65" spans="1:4" ht="30" customHeight="1">
      <c r="A65" s="252" t="s">
        <v>320</v>
      </c>
      <c r="B65" s="227" t="s">
        <v>192</v>
      </c>
      <c r="C65" s="228">
        <f>C16-C23</f>
        <v>20707600</v>
      </c>
      <c r="D65" s="213">
        <f>C65/$D$4</f>
        <v>5112.9876543209875</v>
      </c>
    </row>
    <row r="66" spans="1:4" ht="30" customHeight="1">
      <c r="A66" s="250" t="s">
        <v>253</v>
      </c>
      <c r="B66" s="229" t="s">
        <v>134</v>
      </c>
      <c r="C66" s="226">
        <f>C52</f>
        <v>27333600</v>
      </c>
      <c r="D66" s="205">
        <f>C66/$D$4</f>
        <v>6749.0370370370374</v>
      </c>
    </row>
    <row r="67" spans="1:4">
      <c r="C67" s="80" t="b">
        <f>AND(C64+C65=C66)</f>
        <v>1</v>
      </c>
    </row>
    <row r="68" spans="1:4">
      <c r="C68" s="82">
        <f>C64+C65-C66</f>
        <v>0</v>
      </c>
    </row>
  </sheetData>
  <mergeCells count="1">
    <mergeCell ref="A2:D2"/>
  </mergeCells>
  <pageMargins left="0.89" right="0.45" top="0.46" bottom="0.25" header="0.28000000000000003" footer="0.21"/>
  <pageSetup paperSize="9" scale="85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plan season10</vt:lpstr>
      <vt:lpstr>Cashbook </vt:lpstr>
      <vt:lpstr>Bank </vt:lpstr>
      <vt:lpstr>CashAdvance</vt:lpstr>
      <vt:lpstr>Monthly Expenses&amp;Incomes</vt:lpstr>
      <vt:lpstr>Final Statement</vt:lpstr>
      <vt:lpstr>Chart1</vt:lpstr>
      <vt:lpstr>Chart2</vt:lpstr>
      <vt:lpstr>Chart3</vt:lpstr>
      <vt:lpstr>datariels</vt:lpstr>
      <vt:lpstr>exc</vt:lpstr>
      <vt:lpstr>'Final Statement'!Print_Area</vt:lpstr>
      <vt:lpstr>'Monthly Expenses&amp;Incomes'!Print_Area</vt:lpstr>
      <vt:lpstr>'Bank '!Print_Titles</vt:lpstr>
      <vt:lpstr>CashAdvance!Print_Titles</vt:lpstr>
      <vt:lpstr>'Cashbook '!Print_Titles</vt:lpstr>
      <vt:lpstr>'Final Statement'!Print_Titles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MARION DUFFIEUX</dc:creator>
  <cp:lastModifiedBy>GRET-SKY</cp:lastModifiedBy>
  <cp:lastPrinted>2011-07-18T08:07:45Z</cp:lastPrinted>
  <dcterms:created xsi:type="dcterms:W3CDTF">2010-12-01T04:02:21Z</dcterms:created>
  <dcterms:modified xsi:type="dcterms:W3CDTF">2011-07-18T08:18:38Z</dcterms:modified>
</cp:coreProperties>
</file>