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75" windowWidth="18735" windowHeight="8130"/>
  </bookViews>
  <sheets>
    <sheet name="Budget" sheetId="1" r:id="rId1"/>
    <sheet name="Salaries" sheetId="2" r:id="rId2"/>
    <sheet name="ASIrri financial situation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F37" i="1"/>
  <c r="N18" i="2"/>
  <c r="O16" l="1"/>
  <c r="N16"/>
  <c r="F20" i="1"/>
  <c r="H20" s="1"/>
  <c r="I19" s="1"/>
  <c r="J19" s="1"/>
  <c r="L19" s="1"/>
  <c r="D5" i="3"/>
  <c r="D6"/>
  <c r="C10"/>
  <c r="C8"/>
  <c r="C7"/>
  <c r="C5"/>
  <c r="B5"/>
  <c r="B6" s="1"/>
  <c r="C4"/>
  <c r="C22" i="2"/>
  <c r="D22"/>
  <c r="E22"/>
  <c r="F22"/>
  <c r="G22"/>
  <c r="H22"/>
  <c r="I22"/>
  <c r="J22"/>
  <c r="K22"/>
  <c r="L22"/>
  <c r="M22"/>
  <c r="B22"/>
  <c r="L55" i="1"/>
  <c r="L51"/>
  <c r="H50"/>
  <c r="H49"/>
  <c r="H48"/>
  <c r="H46"/>
  <c r="H45"/>
  <c r="H43"/>
  <c r="H42"/>
  <c r="I41" s="1"/>
  <c r="N20" i="2"/>
  <c r="N21"/>
  <c r="N19"/>
  <c r="H39" i="1"/>
  <c r="H38"/>
  <c r="H37"/>
  <c r="H36"/>
  <c r="H35"/>
  <c r="H34"/>
  <c r="H31"/>
  <c r="I30" s="1"/>
  <c r="J30" s="1"/>
  <c r="L30" s="1"/>
  <c r="F28"/>
  <c r="H29"/>
  <c r="H28"/>
  <c r="H27"/>
  <c r="I26" s="1"/>
  <c r="J26" s="1"/>
  <c r="L26" s="1"/>
  <c r="H25"/>
  <c r="H24"/>
  <c r="F23"/>
  <c r="H21"/>
  <c r="H23"/>
  <c r="H9"/>
  <c r="D7" i="2"/>
  <c r="D8"/>
  <c r="D9" s="1"/>
  <c r="D10"/>
  <c r="D11"/>
  <c r="D12"/>
  <c r="F8"/>
  <c r="F9" s="1"/>
  <c r="J7"/>
  <c r="J10" s="1"/>
  <c r="H7"/>
  <c r="H10" s="1"/>
  <c r="I7"/>
  <c r="I10" s="1"/>
  <c r="G7"/>
  <c r="G10" s="1"/>
  <c r="K7"/>
  <c r="K10" s="1"/>
  <c r="F7"/>
  <c r="F10" s="1"/>
  <c r="E7"/>
  <c r="E10" s="1"/>
  <c r="L7"/>
  <c r="L10" s="1"/>
  <c r="M7"/>
  <c r="M10" s="1"/>
  <c r="B7"/>
  <c r="B10" s="1"/>
  <c r="C7"/>
  <c r="C10" s="1"/>
  <c r="M12"/>
  <c r="L12"/>
  <c r="E12"/>
  <c r="F12"/>
  <c r="K12"/>
  <c r="G12"/>
  <c r="I12"/>
  <c r="H12"/>
  <c r="J12"/>
  <c r="C12"/>
  <c r="B12"/>
  <c r="M11"/>
  <c r="L11"/>
  <c r="E11"/>
  <c r="F11"/>
  <c r="K11"/>
  <c r="G11"/>
  <c r="I11"/>
  <c r="H11"/>
  <c r="J11"/>
  <c r="C11"/>
  <c r="B11"/>
  <c r="M8"/>
  <c r="M9" s="1"/>
  <c r="L8"/>
  <c r="L9" s="1"/>
  <c r="E8"/>
  <c r="E9" s="1"/>
  <c r="K8"/>
  <c r="K9" s="1"/>
  <c r="G8"/>
  <c r="G9" s="1"/>
  <c r="I8"/>
  <c r="I9" s="1"/>
  <c r="H8"/>
  <c r="H9" s="1"/>
  <c r="J8"/>
  <c r="J9" s="1"/>
  <c r="C8"/>
  <c r="C9" s="1"/>
  <c r="B8"/>
  <c r="B9" s="1"/>
  <c r="C6" i="3" l="1"/>
  <c r="B9"/>
  <c r="C9" s="1"/>
  <c r="J40" i="1"/>
  <c r="L40" s="1"/>
  <c r="I44"/>
  <c r="I47"/>
  <c r="J47" s="1"/>
  <c r="L47" s="1"/>
  <c r="N22" i="2"/>
  <c r="I22" i="1"/>
  <c r="J22" s="1"/>
  <c r="L22" s="1"/>
  <c r="J32"/>
  <c r="L32" s="1"/>
  <c r="I33"/>
  <c r="D13" i="2"/>
  <c r="D15" s="1"/>
  <c r="D16" s="1"/>
  <c r="F11" i="1" s="1"/>
  <c r="H11" s="1"/>
  <c r="M13" i="2"/>
  <c r="M15" s="1"/>
  <c r="M16" s="1"/>
  <c r="F18" i="1" s="1"/>
  <c r="H18" s="1"/>
  <c r="B13" i="2"/>
  <c r="B15" s="1"/>
  <c r="B16" s="1"/>
  <c r="K13"/>
  <c r="K15" s="1"/>
  <c r="K16" s="1"/>
  <c r="J13"/>
  <c r="I13"/>
  <c r="I15" s="1"/>
  <c r="I16" s="1"/>
  <c r="E13"/>
  <c r="E15" s="1"/>
  <c r="E16" s="1"/>
  <c r="F12" i="1" s="1"/>
  <c r="H12" s="1"/>
  <c r="G13" i="2"/>
  <c r="G15" s="1"/>
  <c r="G16" s="1"/>
  <c r="F15" i="1" s="1"/>
  <c r="H15" s="1"/>
  <c r="L13" i="2"/>
  <c r="L15" s="1"/>
  <c r="L16" s="1"/>
  <c r="H13"/>
  <c r="H15" s="1"/>
  <c r="H16" s="1"/>
  <c r="F16" i="1" s="1"/>
  <c r="H16" s="1"/>
  <c r="F13" i="2"/>
  <c r="F15" s="1"/>
  <c r="F16" s="1"/>
  <c r="F13" i="1" s="1"/>
  <c r="H13" s="1"/>
  <c r="C13" i="2"/>
  <c r="C15" s="1"/>
  <c r="C16" s="1"/>
  <c r="F10" i="1" s="1"/>
  <c r="H10" s="1"/>
  <c r="J15" i="2"/>
  <c r="J16" s="1"/>
  <c r="C11" i="3" l="1"/>
  <c r="D9"/>
  <c r="D8"/>
  <c r="D7"/>
  <c r="F17" i="1"/>
  <c r="H17" s="1"/>
  <c r="I14" s="1"/>
  <c r="I8"/>
  <c r="F7"/>
  <c r="H7" s="1"/>
  <c r="I6" s="1"/>
  <c r="H59"/>
  <c r="J33"/>
  <c r="L33" s="1"/>
  <c r="J5"/>
  <c r="L5" s="1"/>
  <c r="I59" l="1"/>
  <c r="J4"/>
  <c r="J59" s="1"/>
  <c r="L4" l="1"/>
  <c r="L59" s="1"/>
  <c r="K59"/>
  <c r="K26"/>
  <c r="K4"/>
  <c r="K55"/>
  <c r="K30"/>
  <c r="K5"/>
  <c r="K33"/>
  <c r="K51"/>
  <c r="K19"/>
  <c r="K40"/>
  <c r="K47"/>
  <c r="K22"/>
  <c r="K32"/>
</calcChain>
</file>

<file path=xl/sharedStrings.xml><?xml version="1.0" encoding="utf-8"?>
<sst xmlns="http://schemas.openxmlformats.org/spreadsheetml/2006/main" count="164" uniqueCount="126">
  <si>
    <t>ISC Staff salaries, bonus, indemnity and insurance</t>
  </si>
  <si>
    <t>Level 1 Experts (over 600$)</t>
  </si>
  <si>
    <t xml:space="preserve">O&amp;M technical advisor </t>
  </si>
  <si>
    <t>Level 2 Manager- engineer (300 to 600$)</t>
  </si>
  <si>
    <t>Administrative officer</t>
  </si>
  <si>
    <t>Financial Service Manager</t>
  </si>
  <si>
    <t>Level 3 Field and support staff (100 to 300$)</t>
  </si>
  <si>
    <t>Administrative assistant</t>
  </si>
  <si>
    <t>External HR, part time staff fee, allowances and insurance</t>
  </si>
  <si>
    <t>Student internship</t>
  </si>
  <si>
    <t>Perdiem, travel costs and training for ISC staff</t>
  </si>
  <si>
    <t>Travel costs with public transport</t>
  </si>
  <si>
    <t>Training costs</t>
  </si>
  <si>
    <t>ISC governance</t>
  </si>
  <si>
    <t>Allowances for members</t>
  </si>
  <si>
    <t>Perdiem and travel costs for members</t>
  </si>
  <si>
    <t>Meeting costs</t>
  </si>
  <si>
    <t>Equipment</t>
  </si>
  <si>
    <t>Miscellaneous equipments</t>
  </si>
  <si>
    <t>Running costs</t>
  </si>
  <si>
    <t>Office running costs</t>
  </si>
  <si>
    <t>Office rental</t>
  </si>
  <si>
    <t>Office maintenance, electricity, water</t>
  </si>
  <si>
    <t>Office téléphone &amp; internet</t>
  </si>
  <si>
    <t>Staff phone cards</t>
  </si>
  <si>
    <t>Consumables, office supplies</t>
  </si>
  <si>
    <t>Bank costs and miscellaneous</t>
  </si>
  <si>
    <t>Vehicule costs</t>
  </si>
  <si>
    <t>Motorbikes</t>
  </si>
  <si>
    <t>Staff own motorbike use</t>
  </si>
  <si>
    <t>ISC motorbikes gasoline and maintenance</t>
  </si>
  <si>
    <t>Cars</t>
  </si>
  <si>
    <t>Car maintenance and spareparts</t>
  </si>
  <si>
    <t>Diesel for car</t>
  </si>
  <si>
    <t>ISC operations and services costs</t>
  </si>
  <si>
    <t>FWUC service costs (consumables, perdiem for farmers &amp; LA)</t>
  </si>
  <si>
    <t>Exchange visits between FWUC</t>
  </si>
  <si>
    <t>Farmer &amp; Water Net meetings and exchange visits</t>
  </si>
  <si>
    <t>Investment fund for FWUC</t>
  </si>
  <si>
    <t>Direct subsidies to FWUC budget</t>
  </si>
  <si>
    <t>Infrastructure construction and maintenance costs</t>
  </si>
  <si>
    <t xml:space="preserve">Consultancy services for FWUC </t>
  </si>
  <si>
    <t>Evaluation, Studies and Publications</t>
  </si>
  <si>
    <t xml:space="preserve">Workshop </t>
  </si>
  <si>
    <t>Research and Publication</t>
  </si>
  <si>
    <t>Consultancy service for ISC</t>
  </si>
  <si>
    <t>Code</t>
  </si>
  <si>
    <t>Description</t>
  </si>
  <si>
    <t>Unit</t>
  </si>
  <si>
    <t>Unit price</t>
  </si>
  <si>
    <t>Quantity</t>
  </si>
  <si>
    <t>Amount</t>
  </si>
  <si>
    <t>Sub-total</t>
  </si>
  <si>
    <t>$US</t>
  </si>
  <si>
    <t>%</t>
  </si>
  <si>
    <t>Director</t>
  </si>
  <si>
    <t>Engineer</t>
  </si>
  <si>
    <t>Monitoring &amp; Evaluation officer</t>
  </si>
  <si>
    <t>Community facilitators (3)</t>
  </si>
  <si>
    <t>O&amp;M technicians (2)</t>
  </si>
  <si>
    <t>Database and mapping technician</t>
  </si>
  <si>
    <t>Month</t>
  </si>
  <si>
    <t>Sophak</t>
  </si>
  <si>
    <t>Kanhnha</t>
  </si>
  <si>
    <t>Sokkhim</t>
  </si>
  <si>
    <t>Saveth</t>
  </si>
  <si>
    <t>Ren</t>
  </si>
  <si>
    <t>Bunthoeun</t>
  </si>
  <si>
    <t>Saron</t>
  </si>
  <si>
    <t>Sarath</t>
  </si>
  <si>
    <t>Salpisak</t>
  </si>
  <si>
    <t>Soroth</t>
  </si>
  <si>
    <t>Et Many</t>
  </si>
  <si>
    <t>Nbre of month</t>
  </si>
  <si>
    <t>Salary increase in 2012</t>
  </si>
  <si>
    <t>Salary for 12 months</t>
  </si>
  <si>
    <t>KNY bonus</t>
  </si>
  <si>
    <t>End of the year bonus</t>
  </si>
  <si>
    <t>End of contract 5% on all basic salaries</t>
  </si>
  <si>
    <t>Yearly insurance cost</t>
  </si>
  <si>
    <t>Total year 2011</t>
  </si>
  <si>
    <t>Average monthly cost USD</t>
  </si>
  <si>
    <t>Telephone allowance</t>
  </si>
  <si>
    <t>Own motorbike use</t>
  </si>
  <si>
    <t>Motorbike maintenance and spareparts</t>
  </si>
  <si>
    <t>Gasoline for motorbike</t>
  </si>
  <si>
    <t>$/Euro</t>
  </si>
  <si>
    <t>Meakara</t>
  </si>
  <si>
    <t>2 days  for Sophanna, Sophat, treasurer, other</t>
  </si>
  <si>
    <t>Pisak</t>
  </si>
  <si>
    <t>Saveth &amp; Ren</t>
  </si>
  <si>
    <t>Soroth, Sokkhim, Saron</t>
  </si>
  <si>
    <t>Many</t>
  </si>
  <si>
    <t>Scenario1</t>
  </si>
  <si>
    <t>Scenario2</t>
  </si>
  <si>
    <t>Perdiem / DSA (meal, accomodation)</t>
  </si>
  <si>
    <t>Person</t>
  </si>
  <si>
    <t>Meeting</t>
  </si>
  <si>
    <t>4 MC, 2GA, 1CF, 1AC</t>
  </si>
  <si>
    <t>30$pers*8pers/meet</t>
  </si>
  <si>
    <t>2MC*50$, 2MC*15$+ 2other*20$</t>
  </si>
  <si>
    <t>Year</t>
  </si>
  <si>
    <t>Visit</t>
  </si>
  <si>
    <t>Human resources</t>
  </si>
  <si>
    <t>Short term service contracts</t>
  </si>
  <si>
    <t>Sub-total per month</t>
  </si>
  <si>
    <t>Total motorbike allowance</t>
  </si>
  <si>
    <t>Gross salary at recruitment ASIrri</t>
  </si>
  <si>
    <t>Amount of salary increase</t>
  </si>
  <si>
    <t>Percentage of increase</t>
  </si>
  <si>
    <t>Salary in January 2012</t>
  </si>
  <si>
    <t>GRAND TOTAL</t>
  </si>
  <si>
    <t>ASIrri project financial situation summary</t>
  </si>
  <si>
    <t>Euro</t>
  </si>
  <si>
    <t>US$</t>
  </si>
  <si>
    <t>Budget ASIrri Cambodia</t>
  </si>
  <si>
    <t>Budget managed by GRET Paris</t>
  </si>
  <si>
    <t>Budget managed by ISC</t>
  </si>
  <si>
    <t>Spent on 31st dec 2010</t>
  </si>
  <si>
    <t>Spent Jan-Sept 2011</t>
  </si>
  <si>
    <t>Money available for ISC</t>
  </si>
  <si>
    <t>Forecast for Oct-Dec 2011</t>
  </si>
  <si>
    <t>Money available for 2012</t>
  </si>
  <si>
    <t>Risk with EU-FF</t>
  </si>
  <si>
    <t>Salary costs estimate for January - December 2012</t>
  </si>
  <si>
    <t>%age of total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</si>
</sst>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6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1454817346722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hair">
        <color theme="8" tint="-0.24994659260841701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hair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hair">
        <color theme="8" tint="-0.499984740745262"/>
      </top>
      <bottom style="hair">
        <color theme="8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hair">
        <color theme="8" tint="-0.499984740745262"/>
      </top>
      <bottom style="thin">
        <color theme="8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/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/>
      <right style="thin">
        <color theme="3" tint="0.59999389629810485"/>
      </right>
      <top/>
      <bottom style="thin">
        <color theme="3" tint="0.399945066682943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1">
    <xf numFmtId="0" fontId="0" fillId="0" borderId="0" xfId="0"/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2" fillId="5" borderId="6" xfId="1" applyNumberFormat="1" applyFont="1" applyFill="1" applyBorder="1" applyAlignment="1">
      <alignment horizontal="center" vertical="center"/>
    </xf>
    <xf numFmtId="165" fontId="2" fillId="5" borderId="6" xfId="1" applyNumberFormat="1" applyFont="1" applyFill="1" applyBorder="1" applyAlignment="1">
      <alignment horizontal="center" vertical="center"/>
    </xf>
    <xf numFmtId="9" fontId="2" fillId="5" borderId="6" xfId="2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Alignment="1">
      <alignment vertical="center"/>
    </xf>
    <xf numFmtId="43" fontId="4" fillId="2" borderId="1" xfId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43" fontId="0" fillId="3" borderId="1" xfId="1" applyFont="1" applyFill="1" applyBorder="1" applyAlignment="1">
      <alignment vertical="center"/>
    </xf>
    <xf numFmtId="164" fontId="0" fillId="3" borderId="1" xfId="1" applyNumberFormat="1" applyFont="1" applyFill="1" applyBorder="1" applyAlignment="1">
      <alignment vertical="center"/>
    </xf>
    <xf numFmtId="43" fontId="0" fillId="4" borderId="1" xfId="1" applyFont="1" applyFill="1" applyBorder="1" applyAlignment="1">
      <alignment vertical="center"/>
    </xf>
    <xf numFmtId="164" fontId="0" fillId="4" borderId="1" xfId="1" applyNumberFormat="1" applyFont="1" applyFill="1" applyBorder="1" applyAlignment="1">
      <alignment vertical="center"/>
    </xf>
    <xf numFmtId="43" fontId="0" fillId="0" borderId="1" xfId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1" xfId="1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Fill="1" applyBorder="1" applyAlignment="1">
      <alignment horizontal="center" vertical="center"/>
    </xf>
    <xf numFmtId="43" fontId="0" fillId="0" borderId="1" xfId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3" fontId="0" fillId="2" borderId="1" xfId="1" applyFont="1" applyFill="1" applyBorder="1" applyAlignment="1">
      <alignment vertical="center"/>
    </xf>
    <xf numFmtId="164" fontId="0" fillId="2" borderId="1" xfId="1" applyNumberFormat="1" applyFont="1" applyFill="1" applyBorder="1" applyAlignment="1">
      <alignment vertical="center"/>
    </xf>
    <xf numFmtId="43" fontId="3" fillId="0" borderId="1" xfId="1" applyFont="1" applyBorder="1" applyAlignment="1">
      <alignment vertical="center"/>
    </xf>
    <xf numFmtId="164" fontId="3" fillId="0" borderId="1" xfId="1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0" fontId="2" fillId="5" borderId="8" xfId="0" applyFont="1" applyFill="1" applyBorder="1" applyAlignment="1">
      <alignment vertical="center"/>
    </xf>
    <xf numFmtId="43" fontId="2" fillId="5" borderId="1" xfId="1" applyFont="1" applyFill="1" applyBorder="1" applyAlignment="1">
      <alignment vertical="center"/>
    </xf>
    <xf numFmtId="164" fontId="2" fillId="5" borderId="1" xfId="1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9" fontId="4" fillId="2" borderId="1" xfId="2" applyFont="1" applyFill="1" applyBorder="1" applyAlignment="1">
      <alignment vertical="center"/>
    </xf>
    <xf numFmtId="9" fontId="0" fillId="3" borderId="1" xfId="2" applyFont="1" applyFill="1" applyBorder="1" applyAlignment="1">
      <alignment vertical="center"/>
    </xf>
    <xf numFmtId="9" fontId="2" fillId="5" borderId="1" xfId="2" applyFont="1" applyFill="1" applyBorder="1" applyAlignment="1">
      <alignment vertical="center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9" borderId="9" xfId="0" applyFill="1" applyBorder="1" applyAlignment="1">
      <alignment vertical="center"/>
    </xf>
    <xf numFmtId="0" fontId="4" fillId="9" borderId="9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164" fontId="11" fillId="0" borderId="10" xfId="1" applyNumberFormat="1" applyFont="1" applyFill="1" applyBorder="1" applyAlignment="1">
      <alignment vertical="center"/>
    </xf>
    <xf numFmtId="164" fontId="12" fillId="0" borderId="10" xfId="1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164" fontId="9" fillId="0" borderId="11" xfId="1" applyNumberFormat="1" applyFont="1" applyFill="1" applyBorder="1" applyAlignment="1">
      <alignment vertical="center"/>
    </xf>
    <xf numFmtId="164" fontId="0" fillId="0" borderId="11" xfId="1" applyNumberFormat="1" applyFont="1" applyFill="1" applyBorder="1" applyAlignment="1">
      <alignment vertical="center"/>
    </xf>
    <xf numFmtId="164" fontId="0" fillId="0" borderId="11" xfId="1" applyNumberFormat="1" applyFont="1" applyBorder="1" applyAlignment="1">
      <alignment vertical="center"/>
    </xf>
    <xf numFmtId="165" fontId="0" fillId="0" borderId="11" xfId="1" applyNumberFormat="1" applyFont="1" applyFill="1" applyBorder="1" applyAlignment="1">
      <alignment vertical="center"/>
    </xf>
    <xf numFmtId="165" fontId="0" fillId="0" borderId="11" xfId="1" applyNumberFormat="1" applyFont="1" applyBorder="1" applyAlignment="1">
      <alignment vertical="center"/>
    </xf>
    <xf numFmtId="0" fontId="0" fillId="0" borderId="12" xfId="0" applyBorder="1" applyAlignment="1">
      <alignment vertical="center"/>
    </xf>
    <xf numFmtId="9" fontId="0" fillId="0" borderId="12" xfId="2" applyFont="1" applyBorder="1" applyAlignment="1">
      <alignment vertical="center"/>
    </xf>
    <xf numFmtId="164" fontId="0" fillId="9" borderId="9" xfId="1" applyNumberFormat="1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164" fontId="0" fillId="0" borderId="13" xfId="1" applyNumberFormat="1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164" fontId="0" fillId="0" borderId="0" xfId="1" applyNumberFormat="1" applyFont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164" fontId="0" fillId="0" borderId="12" xfId="1" applyNumberFormat="1" applyFont="1" applyBorder="1" applyAlignment="1">
      <alignment vertical="center"/>
    </xf>
    <xf numFmtId="0" fontId="8" fillId="7" borderId="9" xfId="0" applyFont="1" applyFill="1" applyBorder="1" applyAlignment="1">
      <alignment vertical="center"/>
    </xf>
    <xf numFmtId="164" fontId="8" fillId="7" borderId="9" xfId="1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15" xfId="0" applyBorder="1" applyAlignment="1">
      <alignment vertical="center"/>
    </xf>
    <xf numFmtId="164" fontId="0" fillId="0" borderId="15" xfId="1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164" fontId="0" fillId="0" borderId="16" xfId="1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164" fontId="0" fillId="0" borderId="17" xfId="1" applyNumberFormat="1" applyFont="1" applyBorder="1" applyAlignment="1">
      <alignment vertical="center"/>
    </xf>
    <xf numFmtId="0" fontId="6" fillId="10" borderId="14" xfId="0" applyFont="1" applyFill="1" applyBorder="1" applyAlignment="1">
      <alignment vertical="center"/>
    </xf>
    <xf numFmtId="164" fontId="6" fillId="10" borderId="14" xfId="1" applyNumberFormat="1" applyFont="1" applyFill="1" applyBorder="1" applyAlignment="1">
      <alignment vertical="center"/>
    </xf>
    <xf numFmtId="0" fontId="0" fillId="10" borderId="14" xfId="0" applyFill="1" applyBorder="1" applyAlignment="1">
      <alignment vertical="center"/>
    </xf>
    <xf numFmtId="2" fontId="0" fillId="0" borderId="0" xfId="0" applyNumberFormat="1" applyAlignment="1">
      <alignment vertical="center"/>
    </xf>
    <xf numFmtId="2" fontId="12" fillId="0" borderId="18" xfId="0" applyNumberFormat="1" applyFont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21" xfId="0" applyNumberFormat="1" applyBorder="1" applyAlignment="1">
      <alignment vertical="center"/>
    </xf>
    <xf numFmtId="43" fontId="12" fillId="0" borderId="22" xfId="1" applyFont="1" applyBorder="1" applyAlignment="1">
      <alignment vertical="center"/>
    </xf>
    <xf numFmtId="43" fontId="0" fillId="0" borderId="22" xfId="1" applyFont="1" applyBorder="1" applyAlignment="1">
      <alignment vertical="center"/>
    </xf>
    <xf numFmtId="2" fontId="0" fillId="0" borderId="24" xfId="0" applyNumberFormat="1" applyBorder="1" applyAlignment="1">
      <alignment vertical="center"/>
    </xf>
    <xf numFmtId="43" fontId="12" fillId="0" borderId="25" xfId="1" applyFont="1" applyBorder="1" applyAlignment="1">
      <alignment vertical="center"/>
    </xf>
    <xf numFmtId="43" fontId="0" fillId="0" borderId="25" xfId="1" applyFont="1" applyBorder="1" applyAlignment="1">
      <alignment vertical="center"/>
    </xf>
    <xf numFmtId="2" fontId="4" fillId="8" borderId="18" xfId="0" applyNumberFormat="1" applyFont="1" applyFill="1" applyBorder="1" applyAlignment="1">
      <alignment vertical="center"/>
    </xf>
    <xf numFmtId="43" fontId="13" fillId="8" borderId="19" xfId="1" applyFont="1" applyFill="1" applyBorder="1" applyAlignment="1">
      <alignment vertical="center"/>
    </xf>
    <xf numFmtId="43" fontId="4" fillId="8" borderId="19" xfId="1" applyFont="1" applyFill="1" applyBorder="1" applyAlignment="1">
      <alignment vertical="center"/>
    </xf>
    <xf numFmtId="2" fontId="4" fillId="11" borderId="18" xfId="0" applyNumberFormat="1" applyFont="1" applyFill="1" applyBorder="1" applyAlignment="1">
      <alignment vertical="center"/>
    </xf>
    <xf numFmtId="43" fontId="13" fillId="11" borderId="19" xfId="1" applyFont="1" applyFill="1" applyBorder="1" applyAlignment="1">
      <alignment vertical="center"/>
    </xf>
    <xf numFmtId="43" fontId="4" fillId="11" borderId="19" xfId="1" applyFont="1" applyFill="1" applyBorder="1" applyAlignment="1">
      <alignment vertical="center"/>
    </xf>
    <xf numFmtId="2" fontId="0" fillId="4" borderId="18" xfId="0" applyNumberFormat="1" applyFill="1" applyBorder="1" applyAlignment="1">
      <alignment vertical="center"/>
    </xf>
    <xf numFmtId="43" fontId="12" fillId="4" borderId="19" xfId="1" applyFont="1" applyFill="1" applyBorder="1" applyAlignment="1">
      <alignment vertical="center"/>
    </xf>
    <xf numFmtId="43" fontId="0" fillId="4" borderId="19" xfId="1" applyFont="1" applyFill="1" applyBorder="1" applyAlignment="1">
      <alignment vertical="center"/>
    </xf>
    <xf numFmtId="2" fontId="0" fillId="6" borderId="24" xfId="0" applyNumberFormat="1" applyFill="1" applyBorder="1" applyAlignment="1">
      <alignment vertical="center"/>
    </xf>
    <xf numFmtId="43" fontId="12" fillId="6" borderId="25" xfId="1" applyFont="1" applyFill="1" applyBorder="1" applyAlignment="1">
      <alignment vertical="center"/>
    </xf>
    <xf numFmtId="43" fontId="0" fillId="6" borderId="25" xfId="1" applyFont="1" applyFill="1" applyBorder="1" applyAlignment="1">
      <alignment vertical="center"/>
    </xf>
    <xf numFmtId="2" fontId="14" fillId="0" borderId="0" xfId="0" applyNumberFormat="1" applyFont="1" applyAlignment="1">
      <alignment vertical="center"/>
    </xf>
    <xf numFmtId="9" fontId="0" fillId="0" borderId="23" xfId="2" applyFont="1" applyBorder="1" applyAlignment="1">
      <alignment vertical="center"/>
    </xf>
    <xf numFmtId="9" fontId="0" fillId="0" borderId="26" xfId="2" applyFont="1" applyBorder="1" applyAlignment="1">
      <alignment vertical="center"/>
    </xf>
    <xf numFmtId="9" fontId="4" fillId="8" borderId="20" xfId="2" applyFont="1" applyFill="1" applyBorder="1" applyAlignment="1">
      <alignment vertical="center"/>
    </xf>
    <xf numFmtId="9" fontId="4" fillId="11" borderId="20" xfId="2" applyFont="1" applyFill="1" applyBorder="1" applyAlignment="1">
      <alignment vertical="center"/>
    </xf>
    <xf numFmtId="9" fontId="0" fillId="4" borderId="20" xfId="2" applyFont="1" applyFill="1" applyBorder="1" applyAlignment="1">
      <alignment vertical="center"/>
    </xf>
    <xf numFmtId="9" fontId="0" fillId="6" borderId="26" xfId="2" applyFont="1" applyFill="1" applyBorder="1" applyAlignment="1">
      <alignment vertical="center"/>
    </xf>
    <xf numFmtId="2" fontId="0" fillId="12" borderId="27" xfId="0" applyNumberFormat="1" applyFill="1" applyBorder="1" applyAlignment="1">
      <alignment vertical="center"/>
    </xf>
    <xf numFmtId="43" fontId="12" fillId="12" borderId="0" xfId="1" applyFont="1" applyFill="1" applyBorder="1" applyAlignment="1">
      <alignment vertical="center"/>
    </xf>
    <xf numFmtId="43" fontId="0" fillId="12" borderId="0" xfId="1" applyFont="1" applyFill="1" applyBorder="1" applyAlignment="1">
      <alignment vertical="center"/>
    </xf>
    <xf numFmtId="9" fontId="0" fillId="12" borderId="28" xfId="2" applyFont="1" applyFill="1" applyBorder="1" applyAlignment="1">
      <alignment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9" fontId="10" fillId="5" borderId="3" xfId="2" applyFont="1" applyFill="1" applyBorder="1" applyAlignment="1">
      <alignment horizontal="center" vertical="center" wrapText="1"/>
    </xf>
    <xf numFmtId="9" fontId="10" fillId="5" borderId="5" xfId="2" applyFont="1" applyFill="1" applyBorder="1" applyAlignment="1">
      <alignment horizontal="center" vertical="center" wrapText="1"/>
    </xf>
    <xf numFmtId="164" fontId="10" fillId="5" borderId="3" xfId="1" applyNumberFormat="1" applyFont="1" applyFill="1" applyBorder="1" applyAlignment="1">
      <alignment horizontal="center" vertical="center" wrapText="1"/>
    </xf>
    <xf numFmtId="164" fontId="10" fillId="5" borderId="5" xfId="1" applyNumberFormat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164" fontId="2" fillId="5" borderId="3" xfId="1" applyNumberFormat="1" applyFont="1" applyFill="1" applyBorder="1" applyAlignment="1">
      <alignment horizontal="center" vertical="center"/>
    </xf>
    <xf numFmtId="164" fontId="2" fillId="5" borderId="5" xfId="1" applyNumberFormat="1" applyFont="1" applyFill="1" applyBorder="1" applyAlignment="1">
      <alignment horizontal="center" vertical="center"/>
    </xf>
    <xf numFmtId="165" fontId="2" fillId="5" borderId="3" xfId="1" applyNumberFormat="1" applyFont="1" applyFill="1" applyBorder="1" applyAlignment="1">
      <alignment horizontal="center" vertical="center"/>
    </xf>
    <xf numFmtId="165" fontId="2" fillId="5" borderId="5" xfId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SC%20-%20AFD%20budget%202011-2d%20semeste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SC Budget"/>
      <sheetName val="Salary costs"/>
      <sheetName val="Expenses follow-up $"/>
      <sheetName val="Corr codes"/>
      <sheetName val="Sheet2"/>
    </sheetNames>
    <sheetDataSet>
      <sheetData sheetId="0" refreshError="1"/>
      <sheetData sheetId="1" refreshError="1"/>
      <sheetData sheetId="2">
        <row r="5">
          <cell r="S5">
            <v>9583</v>
          </cell>
        </row>
        <row r="6">
          <cell r="S6">
            <v>22055</v>
          </cell>
        </row>
        <row r="29">
          <cell r="O29">
            <v>15975.537176042624</v>
          </cell>
          <cell r="S29">
            <v>115054.53717604262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9"/>
  <sheetViews>
    <sheetView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60" sqref="L60"/>
    </sheetView>
  </sheetViews>
  <sheetFormatPr defaultRowHeight="15" outlineLevelRow="1"/>
  <cols>
    <col min="1" max="1" width="9.140625" style="20"/>
    <col min="2" max="2" width="8.5703125" style="20" customWidth="1"/>
    <col min="3" max="3" width="40.5703125" style="20" customWidth="1"/>
    <col min="4" max="4" width="22.7109375" style="20" customWidth="1"/>
    <col min="5" max="5" width="10.42578125" style="20" customWidth="1"/>
    <col min="6" max="6" width="9.5703125" style="30" bestFit="1" customWidth="1"/>
    <col min="7" max="7" width="9.140625" style="20"/>
    <col min="8" max="9" width="10.5703125" style="20" bestFit="1" customWidth="1"/>
    <col min="10" max="16384" width="9.140625" style="20"/>
  </cols>
  <sheetData>
    <row r="1" spans="1:12">
      <c r="A1" s="121" t="s">
        <v>46</v>
      </c>
      <c r="B1" s="128" t="s">
        <v>47</v>
      </c>
      <c r="C1" s="129"/>
      <c r="D1" s="130"/>
      <c r="E1" s="121" t="s">
        <v>48</v>
      </c>
      <c r="F1" s="137" t="s">
        <v>49</v>
      </c>
      <c r="G1" s="139" t="s">
        <v>50</v>
      </c>
      <c r="H1" s="137" t="s">
        <v>51</v>
      </c>
      <c r="I1" s="137" t="s">
        <v>52</v>
      </c>
      <c r="J1" s="137" t="s">
        <v>52</v>
      </c>
      <c r="K1" s="124" t="s">
        <v>125</v>
      </c>
      <c r="L1" s="126" t="s">
        <v>105</v>
      </c>
    </row>
    <row r="2" spans="1:12">
      <c r="A2" s="122"/>
      <c r="B2" s="131"/>
      <c r="C2" s="132"/>
      <c r="D2" s="133"/>
      <c r="E2" s="122"/>
      <c r="F2" s="138"/>
      <c r="G2" s="140"/>
      <c r="H2" s="138"/>
      <c r="I2" s="138"/>
      <c r="J2" s="138"/>
      <c r="K2" s="125"/>
      <c r="L2" s="127"/>
    </row>
    <row r="3" spans="1:12">
      <c r="A3" s="123"/>
      <c r="B3" s="134"/>
      <c r="C3" s="135"/>
      <c r="D3" s="136"/>
      <c r="E3" s="123"/>
      <c r="F3" s="16" t="s">
        <v>53</v>
      </c>
      <c r="G3" s="17"/>
      <c r="H3" s="16" t="s">
        <v>53</v>
      </c>
      <c r="I3" s="16" t="s">
        <v>53</v>
      </c>
      <c r="J3" s="16" t="s">
        <v>53</v>
      </c>
      <c r="K3" s="18" t="s">
        <v>54</v>
      </c>
      <c r="L3" s="16" t="s">
        <v>53</v>
      </c>
    </row>
    <row r="4" spans="1:12">
      <c r="A4" s="1">
        <v>51000</v>
      </c>
      <c r="B4" s="2" t="s">
        <v>103</v>
      </c>
      <c r="C4" s="1"/>
      <c r="D4" s="1"/>
      <c r="E4" s="21"/>
      <c r="F4" s="22"/>
      <c r="G4" s="22"/>
      <c r="H4" s="22"/>
      <c r="I4" s="22"/>
      <c r="J4" s="22">
        <f>SUM(H5:H25)</f>
        <v>80163</v>
      </c>
      <c r="K4" s="48">
        <f>J4/$J$59</f>
        <v>0.64635591785394642</v>
      </c>
      <c r="L4" s="22">
        <f>J4/12</f>
        <v>6680.25</v>
      </c>
    </row>
    <row r="5" spans="1:12">
      <c r="A5" s="3">
        <v>51100</v>
      </c>
      <c r="B5" s="4" t="s">
        <v>0</v>
      </c>
      <c r="C5" s="3"/>
      <c r="D5" s="3"/>
      <c r="E5" s="23"/>
      <c r="F5" s="24"/>
      <c r="G5" s="24"/>
      <c r="H5" s="24"/>
      <c r="I5" s="24"/>
      <c r="J5" s="24">
        <f>SUM(H6:H18)</f>
        <v>59163</v>
      </c>
      <c r="K5" s="49">
        <f>J5/$J$59</f>
        <v>0.47703248590987157</v>
      </c>
      <c r="L5" s="24">
        <f>J5/12</f>
        <v>4930.25</v>
      </c>
    </row>
    <row r="6" spans="1:12" outlineLevel="1">
      <c r="A6" s="5">
        <v>51110</v>
      </c>
      <c r="B6" s="6" t="s">
        <v>1</v>
      </c>
      <c r="C6" s="6"/>
      <c r="D6" s="6"/>
      <c r="E6" s="25"/>
      <c r="F6" s="26"/>
      <c r="G6" s="26"/>
      <c r="H6" s="26"/>
      <c r="I6" s="26">
        <f>SUM(H7)</f>
        <v>16168.75</v>
      </c>
      <c r="J6" s="26"/>
      <c r="K6" s="26"/>
      <c r="L6" s="26"/>
    </row>
    <row r="7" spans="1:12" outlineLevel="1">
      <c r="A7" s="7">
        <v>51111</v>
      </c>
      <c r="B7" s="7"/>
      <c r="C7" s="8" t="s">
        <v>55</v>
      </c>
      <c r="D7" s="8" t="s">
        <v>62</v>
      </c>
      <c r="E7" s="27" t="s">
        <v>61</v>
      </c>
      <c r="F7" s="28">
        <f>Salaries!B16</f>
        <v>1347.3958333333333</v>
      </c>
      <c r="G7" s="28">
        <v>12</v>
      </c>
      <c r="H7" s="28">
        <f>F7*G7</f>
        <v>16168.75</v>
      </c>
      <c r="I7" s="28"/>
      <c r="J7" s="28"/>
      <c r="K7" s="28"/>
      <c r="L7" s="28"/>
    </row>
    <row r="8" spans="1:12" outlineLevel="1">
      <c r="A8" s="9">
        <v>51120</v>
      </c>
      <c r="B8" s="9" t="s">
        <v>3</v>
      </c>
      <c r="C8" s="9"/>
      <c r="D8" s="9"/>
      <c r="E8" s="25"/>
      <c r="F8" s="26"/>
      <c r="G8" s="26"/>
      <c r="H8" s="26"/>
      <c r="I8" s="26">
        <f>SUM(H9:H13)</f>
        <v>19493.5</v>
      </c>
      <c r="J8" s="26"/>
      <c r="K8" s="26"/>
      <c r="L8" s="26"/>
    </row>
    <row r="9" spans="1:12" outlineLevel="1">
      <c r="A9" s="7">
        <v>51121</v>
      </c>
      <c r="B9" s="7"/>
      <c r="C9" s="7" t="s">
        <v>4</v>
      </c>
      <c r="D9" s="7"/>
      <c r="E9" s="27" t="s">
        <v>61</v>
      </c>
      <c r="F9" s="28"/>
      <c r="G9" s="28">
        <v>12</v>
      </c>
      <c r="H9" s="28">
        <f t="shared" ref="H9:H13" si="0">F9*G9</f>
        <v>0</v>
      </c>
      <c r="I9" s="28"/>
      <c r="J9" s="28"/>
      <c r="K9" s="28"/>
      <c r="L9" s="28"/>
    </row>
    <row r="10" spans="1:12" outlineLevel="1">
      <c r="A10" s="7">
        <v>51122</v>
      </c>
      <c r="B10" s="7"/>
      <c r="C10" s="7" t="s">
        <v>5</v>
      </c>
      <c r="D10" s="7" t="s">
        <v>63</v>
      </c>
      <c r="E10" s="27" t="s">
        <v>61</v>
      </c>
      <c r="F10" s="29">
        <f>Salaries!C16</f>
        <v>613.70833333333337</v>
      </c>
      <c r="G10" s="28">
        <v>12</v>
      </c>
      <c r="H10" s="28">
        <f t="shared" si="0"/>
        <v>7364.5</v>
      </c>
      <c r="I10" s="29"/>
      <c r="J10" s="29"/>
      <c r="K10" s="29"/>
      <c r="L10" s="29"/>
    </row>
    <row r="11" spans="1:12" outlineLevel="1">
      <c r="A11" s="7">
        <v>51123</v>
      </c>
      <c r="B11" s="7"/>
      <c r="C11" s="8" t="s">
        <v>2</v>
      </c>
      <c r="D11" s="8" t="s">
        <v>87</v>
      </c>
      <c r="E11" s="27" t="s">
        <v>61</v>
      </c>
      <c r="F11" s="29">
        <f>Salaries!D16</f>
        <v>317.95833333333331</v>
      </c>
      <c r="G11" s="28">
        <v>12</v>
      </c>
      <c r="H11" s="28">
        <f t="shared" si="0"/>
        <v>3815.5</v>
      </c>
      <c r="I11" s="29"/>
      <c r="J11" s="29"/>
      <c r="K11" s="29"/>
      <c r="L11" s="29"/>
    </row>
    <row r="12" spans="1:12" outlineLevel="1">
      <c r="A12" s="7">
        <v>51124</v>
      </c>
      <c r="B12" s="7"/>
      <c r="C12" s="7" t="s">
        <v>56</v>
      </c>
      <c r="D12" s="7" t="s">
        <v>89</v>
      </c>
      <c r="E12" s="27" t="s">
        <v>61</v>
      </c>
      <c r="F12" s="28">
        <f>Salaries!E16</f>
        <v>397.58333333333331</v>
      </c>
      <c r="G12" s="28">
        <v>12</v>
      </c>
      <c r="H12" s="28">
        <f t="shared" si="0"/>
        <v>4771</v>
      </c>
      <c r="I12" s="28"/>
      <c r="J12" s="28"/>
      <c r="K12" s="28"/>
      <c r="L12" s="28"/>
    </row>
    <row r="13" spans="1:12" outlineLevel="1">
      <c r="A13" s="7">
        <v>51125</v>
      </c>
      <c r="B13" s="7"/>
      <c r="C13" s="7" t="s">
        <v>57</v>
      </c>
      <c r="D13" s="7" t="s">
        <v>69</v>
      </c>
      <c r="E13" s="27" t="s">
        <v>61</v>
      </c>
      <c r="F13" s="29">
        <f>Salaries!F16</f>
        <v>295.20833333333331</v>
      </c>
      <c r="G13" s="28">
        <v>12</v>
      </c>
      <c r="H13" s="28">
        <f t="shared" si="0"/>
        <v>3542.5</v>
      </c>
      <c r="I13" s="29"/>
      <c r="J13" s="29"/>
      <c r="K13" s="29"/>
      <c r="L13" s="29"/>
    </row>
    <row r="14" spans="1:12" outlineLevel="1">
      <c r="A14" s="9">
        <v>51130</v>
      </c>
      <c r="B14" s="9" t="s">
        <v>6</v>
      </c>
      <c r="C14" s="9"/>
      <c r="D14" s="9"/>
      <c r="E14" s="25"/>
      <c r="F14" s="26"/>
      <c r="G14" s="26"/>
      <c r="H14" s="26"/>
      <c r="I14" s="26">
        <f>SUM(H15:H18)</f>
        <v>23500.75</v>
      </c>
      <c r="J14" s="26"/>
      <c r="K14" s="26"/>
      <c r="L14" s="26"/>
    </row>
    <row r="15" spans="1:12" outlineLevel="1">
      <c r="A15" s="7">
        <v>51131</v>
      </c>
      <c r="B15" s="7"/>
      <c r="C15" s="7" t="s">
        <v>60</v>
      </c>
      <c r="D15" s="7" t="s">
        <v>67</v>
      </c>
      <c r="E15" s="27" t="s">
        <v>61</v>
      </c>
      <c r="F15" s="28">
        <f>Salaries!G16</f>
        <v>289.52083333333331</v>
      </c>
      <c r="G15" s="28">
        <v>12</v>
      </c>
      <c r="H15" s="28">
        <f t="shared" ref="H15:H18" si="1">F15*G15</f>
        <v>3474.25</v>
      </c>
      <c r="I15" s="28"/>
      <c r="J15" s="28"/>
      <c r="K15" s="28"/>
      <c r="L15" s="28"/>
    </row>
    <row r="16" spans="1:12" outlineLevel="1">
      <c r="A16" s="7">
        <v>51132</v>
      </c>
      <c r="B16" s="7"/>
      <c r="C16" s="7" t="s">
        <v>59</v>
      </c>
      <c r="D16" s="7" t="s">
        <v>90</v>
      </c>
      <c r="E16" s="27" t="s">
        <v>61</v>
      </c>
      <c r="F16" s="28">
        <f>Salaries!H16+Salaries!I16</f>
        <v>579.04166666666663</v>
      </c>
      <c r="G16" s="28">
        <v>12</v>
      </c>
      <c r="H16" s="28">
        <f t="shared" si="1"/>
        <v>6948.5</v>
      </c>
      <c r="I16" s="28"/>
      <c r="J16" s="28"/>
      <c r="K16" s="28"/>
      <c r="L16" s="28"/>
    </row>
    <row r="17" spans="1:13" outlineLevel="1">
      <c r="A17" s="7">
        <v>51133</v>
      </c>
      <c r="B17" s="7"/>
      <c r="C17" s="7" t="s">
        <v>58</v>
      </c>
      <c r="D17" s="7" t="s">
        <v>91</v>
      </c>
      <c r="E17" s="27" t="s">
        <v>61</v>
      </c>
      <c r="F17" s="28">
        <f>Salaries!J16+Salaries!K16+Salaries!L16</f>
        <v>834.4375</v>
      </c>
      <c r="G17" s="28">
        <v>12</v>
      </c>
      <c r="H17" s="28">
        <f t="shared" si="1"/>
        <v>10013.25</v>
      </c>
      <c r="I17" s="28"/>
      <c r="J17" s="28"/>
      <c r="K17" s="28"/>
      <c r="L17" s="28"/>
    </row>
    <row r="18" spans="1:13" outlineLevel="1">
      <c r="A18" s="7">
        <v>51134</v>
      </c>
      <c r="B18" s="7"/>
      <c r="C18" s="7" t="s">
        <v>7</v>
      </c>
      <c r="D18" s="7" t="s">
        <v>92</v>
      </c>
      <c r="E18" s="27" t="s">
        <v>61</v>
      </c>
      <c r="F18" s="28">
        <f>Salaries!M16</f>
        <v>255.39583333333334</v>
      </c>
      <c r="G18" s="28">
        <v>12</v>
      </c>
      <c r="H18" s="28">
        <f t="shared" si="1"/>
        <v>3064.75</v>
      </c>
      <c r="I18" s="28"/>
      <c r="J18" s="28"/>
      <c r="K18" s="28"/>
      <c r="L18" s="28"/>
      <c r="M18" s="30"/>
    </row>
    <row r="19" spans="1:13">
      <c r="A19" s="3">
        <v>51200</v>
      </c>
      <c r="B19" s="3" t="s">
        <v>8</v>
      </c>
      <c r="C19" s="3"/>
      <c r="D19" s="3"/>
      <c r="E19" s="23"/>
      <c r="F19" s="24"/>
      <c r="G19" s="24"/>
      <c r="H19" s="24"/>
      <c r="I19" s="24">
        <f>SUM(H20:H21)</f>
        <v>8400</v>
      </c>
      <c r="J19" s="24">
        <f>I19</f>
        <v>8400</v>
      </c>
      <c r="K19" s="49">
        <f>J19/$J$59</f>
        <v>6.7729372777629956E-2</v>
      </c>
      <c r="L19" s="24">
        <f t="shared" ref="L19:L22" si="2">J19/12</f>
        <v>700</v>
      </c>
    </row>
    <row r="20" spans="1:13" ht="30" outlineLevel="1">
      <c r="A20" s="11">
        <v>51210</v>
      </c>
      <c r="B20" s="31"/>
      <c r="C20" s="8" t="s">
        <v>104</v>
      </c>
      <c r="D20" s="19" t="s">
        <v>88</v>
      </c>
      <c r="E20" s="32" t="s">
        <v>61</v>
      </c>
      <c r="F20" s="29">
        <f>(115+85+100+50)*2</f>
        <v>700</v>
      </c>
      <c r="G20" s="29">
        <v>12</v>
      </c>
      <c r="H20" s="29">
        <f>F20*G20</f>
        <v>8400</v>
      </c>
      <c r="I20" s="29"/>
      <c r="J20" s="29"/>
      <c r="K20" s="29"/>
      <c r="L20" s="29"/>
    </row>
    <row r="21" spans="1:13" outlineLevel="1">
      <c r="A21" s="12">
        <v>51220</v>
      </c>
      <c r="B21" s="33"/>
      <c r="C21" s="10" t="s">
        <v>9</v>
      </c>
      <c r="D21" s="10"/>
      <c r="E21" s="34"/>
      <c r="F21" s="35"/>
      <c r="G21" s="35"/>
      <c r="H21" s="29">
        <f>F21*G21</f>
        <v>0</v>
      </c>
      <c r="I21" s="35"/>
      <c r="J21" s="35"/>
      <c r="K21" s="35"/>
      <c r="L21" s="35"/>
    </row>
    <row r="22" spans="1:13">
      <c r="A22" s="4">
        <v>51300</v>
      </c>
      <c r="B22" s="4" t="s">
        <v>10</v>
      </c>
      <c r="C22" s="3"/>
      <c r="D22" s="3"/>
      <c r="E22" s="23"/>
      <c r="F22" s="24"/>
      <c r="G22" s="24"/>
      <c r="H22" s="24"/>
      <c r="I22" s="24">
        <f>SUM(H23:H25)</f>
        <v>12600</v>
      </c>
      <c r="J22" s="24">
        <f>I22</f>
        <v>12600</v>
      </c>
      <c r="K22" s="49">
        <f>J22/$J$59</f>
        <v>0.10159405916644493</v>
      </c>
      <c r="L22" s="24">
        <f t="shared" si="2"/>
        <v>1050</v>
      </c>
    </row>
    <row r="23" spans="1:13" outlineLevel="1">
      <c r="A23" s="7">
        <v>51310</v>
      </c>
      <c r="B23" s="7"/>
      <c r="C23" s="8" t="s">
        <v>95</v>
      </c>
      <c r="D23" s="8"/>
      <c r="E23" s="27" t="s">
        <v>61</v>
      </c>
      <c r="F23" s="28">
        <f>15*10*5</f>
        <v>750</v>
      </c>
      <c r="G23" s="28">
        <v>12</v>
      </c>
      <c r="H23" s="29">
        <f>F23*G23</f>
        <v>9000</v>
      </c>
      <c r="I23" s="28"/>
      <c r="J23" s="28"/>
      <c r="K23" s="28"/>
      <c r="L23" s="28"/>
    </row>
    <row r="24" spans="1:13" outlineLevel="1">
      <c r="A24" s="7">
        <v>51320</v>
      </c>
      <c r="B24" s="7"/>
      <c r="C24" s="8" t="s">
        <v>11</v>
      </c>
      <c r="D24" s="8"/>
      <c r="E24" s="27" t="s">
        <v>61</v>
      </c>
      <c r="F24" s="28">
        <v>100</v>
      </c>
      <c r="G24" s="28">
        <v>12</v>
      </c>
      <c r="H24" s="29">
        <f>F24*G24</f>
        <v>1200</v>
      </c>
      <c r="I24" s="28"/>
      <c r="J24" s="28"/>
      <c r="K24" s="28"/>
      <c r="L24" s="28"/>
    </row>
    <row r="25" spans="1:13" outlineLevel="1">
      <c r="A25" s="7">
        <v>51330</v>
      </c>
      <c r="B25" s="7"/>
      <c r="C25" s="8" t="s">
        <v>12</v>
      </c>
      <c r="D25" s="8"/>
      <c r="E25" s="27" t="s">
        <v>96</v>
      </c>
      <c r="F25" s="28">
        <v>200</v>
      </c>
      <c r="G25" s="28">
        <v>12</v>
      </c>
      <c r="H25" s="28">
        <f>F25*G25</f>
        <v>2400</v>
      </c>
      <c r="I25" s="28"/>
      <c r="J25" s="28"/>
      <c r="K25" s="28"/>
      <c r="L25" s="28"/>
    </row>
    <row r="26" spans="1:13">
      <c r="A26" s="1">
        <v>52000</v>
      </c>
      <c r="B26" s="1" t="s">
        <v>13</v>
      </c>
      <c r="C26" s="36"/>
      <c r="D26" s="36"/>
      <c r="E26" s="37"/>
      <c r="F26" s="38"/>
      <c r="G26" s="38"/>
      <c r="H26" s="38"/>
      <c r="I26" s="43">
        <f>SUM(H27:H29)</f>
        <v>4880</v>
      </c>
      <c r="J26" s="22">
        <f>I26</f>
        <v>4880</v>
      </c>
      <c r="K26" s="48">
        <f>J26/$J$59</f>
        <v>3.9347540375575502E-2</v>
      </c>
      <c r="L26" s="22">
        <f>J26/12</f>
        <v>406.66666666666669</v>
      </c>
    </row>
    <row r="27" spans="1:13" outlineLevel="1">
      <c r="A27" s="11">
        <v>52100</v>
      </c>
      <c r="B27" s="7"/>
      <c r="C27" s="8" t="s">
        <v>14</v>
      </c>
      <c r="D27" s="8" t="s">
        <v>100</v>
      </c>
      <c r="E27" s="27" t="s">
        <v>97</v>
      </c>
      <c r="F27" s="28">
        <v>170</v>
      </c>
      <c r="G27" s="28">
        <v>8</v>
      </c>
      <c r="H27" s="28">
        <f t="shared" ref="H27:H31" si="3">F27*G27</f>
        <v>1360</v>
      </c>
      <c r="I27" s="28"/>
      <c r="J27" s="28"/>
      <c r="K27" s="28"/>
      <c r="L27" s="28"/>
    </row>
    <row r="28" spans="1:13" outlineLevel="1">
      <c r="A28" s="7">
        <v>52200</v>
      </c>
      <c r="B28" s="7"/>
      <c r="C28" s="8" t="s">
        <v>15</v>
      </c>
      <c r="D28" s="8" t="s">
        <v>99</v>
      </c>
      <c r="E28" s="27" t="s">
        <v>97</v>
      </c>
      <c r="F28" s="28">
        <f>30*8</f>
        <v>240</v>
      </c>
      <c r="G28" s="28">
        <v>8</v>
      </c>
      <c r="H28" s="28">
        <f t="shared" si="3"/>
        <v>1920</v>
      </c>
      <c r="I28" s="28"/>
      <c r="J28" s="28"/>
      <c r="K28" s="28"/>
      <c r="L28" s="28"/>
    </row>
    <row r="29" spans="1:13" outlineLevel="1">
      <c r="A29" s="7">
        <v>52300</v>
      </c>
      <c r="B29" s="7"/>
      <c r="C29" s="8" t="s">
        <v>16</v>
      </c>
      <c r="D29" s="8" t="s">
        <v>98</v>
      </c>
      <c r="E29" s="27" t="s">
        <v>97</v>
      </c>
      <c r="F29" s="28">
        <v>200</v>
      </c>
      <c r="G29" s="28">
        <v>8</v>
      </c>
      <c r="H29" s="28">
        <f t="shared" si="3"/>
        <v>1600</v>
      </c>
      <c r="I29" s="28"/>
      <c r="J29" s="28"/>
      <c r="K29" s="28"/>
      <c r="L29" s="28"/>
    </row>
    <row r="30" spans="1:13">
      <c r="A30" s="1">
        <v>53000</v>
      </c>
      <c r="B30" s="1" t="s">
        <v>17</v>
      </c>
      <c r="C30" s="36"/>
      <c r="D30" s="36"/>
      <c r="E30" s="37"/>
      <c r="F30" s="38"/>
      <c r="G30" s="38"/>
      <c r="H30" s="38"/>
      <c r="I30" s="43">
        <f>SUM(H31)</f>
        <v>3000</v>
      </c>
      <c r="J30" s="22">
        <f>I30</f>
        <v>3000</v>
      </c>
      <c r="K30" s="48">
        <f>J30/$J$59</f>
        <v>2.4189061706296412E-2</v>
      </c>
      <c r="L30" s="22">
        <f>J30/12</f>
        <v>250</v>
      </c>
    </row>
    <row r="31" spans="1:13" outlineLevel="1">
      <c r="A31" s="13">
        <v>53000</v>
      </c>
      <c r="B31" s="7"/>
      <c r="C31" s="8" t="s">
        <v>18</v>
      </c>
      <c r="D31" s="8"/>
      <c r="E31" s="27" t="s">
        <v>101</v>
      </c>
      <c r="F31" s="28">
        <v>3000</v>
      </c>
      <c r="G31" s="28">
        <v>1</v>
      </c>
      <c r="H31" s="28">
        <f t="shared" si="3"/>
        <v>3000</v>
      </c>
      <c r="I31" s="28"/>
      <c r="J31" s="28"/>
      <c r="K31" s="28"/>
      <c r="L31" s="28"/>
    </row>
    <row r="32" spans="1:13">
      <c r="A32" s="1">
        <v>54000</v>
      </c>
      <c r="B32" s="1" t="s">
        <v>19</v>
      </c>
      <c r="C32" s="36"/>
      <c r="D32" s="36"/>
      <c r="E32" s="37"/>
      <c r="F32" s="38"/>
      <c r="G32" s="38"/>
      <c r="H32" s="38"/>
      <c r="I32" s="38"/>
      <c r="J32" s="22">
        <f>SUM(H33:H46)</f>
        <v>22980</v>
      </c>
      <c r="K32" s="48">
        <f>J32/$J$59</f>
        <v>0.18528821267023052</v>
      </c>
      <c r="L32" s="22">
        <f>J32/12</f>
        <v>1915</v>
      </c>
    </row>
    <row r="33" spans="1:13">
      <c r="A33" s="3">
        <v>54100</v>
      </c>
      <c r="B33" s="3" t="s">
        <v>20</v>
      </c>
      <c r="C33" s="3"/>
      <c r="D33" s="3"/>
      <c r="E33" s="23"/>
      <c r="F33" s="24"/>
      <c r="G33" s="24"/>
      <c r="H33" s="24"/>
      <c r="I33" s="24">
        <f>SUM(H34:H39)</f>
        <v>9180</v>
      </c>
      <c r="J33" s="24">
        <f>I33</f>
        <v>9180</v>
      </c>
      <c r="K33" s="49">
        <f>J33/$J$59</f>
        <v>7.4018528821267027E-2</v>
      </c>
      <c r="L33" s="24">
        <f t="shared" ref="L33" si="4">J33/12</f>
        <v>765</v>
      </c>
    </row>
    <row r="34" spans="1:13" outlineLevel="1">
      <c r="A34" s="7">
        <v>54110</v>
      </c>
      <c r="B34" s="7"/>
      <c r="C34" s="7" t="s">
        <v>21</v>
      </c>
      <c r="D34" s="7"/>
      <c r="E34" s="27" t="s">
        <v>61</v>
      </c>
      <c r="F34" s="28">
        <v>300</v>
      </c>
      <c r="G34" s="28">
        <v>12</v>
      </c>
      <c r="H34" s="28">
        <f t="shared" ref="H34:H39" si="5">F34*G34</f>
        <v>3600</v>
      </c>
      <c r="I34" s="28"/>
      <c r="J34" s="28"/>
      <c r="K34" s="28"/>
      <c r="L34" s="28"/>
    </row>
    <row r="35" spans="1:13" outlineLevel="1">
      <c r="A35" s="7">
        <v>54120</v>
      </c>
      <c r="B35" s="7"/>
      <c r="C35" s="7" t="s">
        <v>22</v>
      </c>
      <c r="D35" s="7"/>
      <c r="E35" s="27" t="s">
        <v>61</v>
      </c>
      <c r="F35" s="28">
        <v>100</v>
      </c>
      <c r="G35" s="28">
        <v>12</v>
      </c>
      <c r="H35" s="28">
        <f t="shared" si="5"/>
        <v>1200</v>
      </c>
      <c r="I35" s="28"/>
      <c r="J35" s="28"/>
      <c r="K35" s="28"/>
      <c r="L35" s="28"/>
    </row>
    <row r="36" spans="1:13" outlineLevel="1">
      <c r="A36" s="8">
        <v>54130</v>
      </c>
      <c r="C36" s="8" t="s">
        <v>23</v>
      </c>
      <c r="D36" s="8"/>
      <c r="E36" s="27" t="s">
        <v>61</v>
      </c>
      <c r="F36" s="29">
        <v>50</v>
      </c>
      <c r="G36" s="28">
        <v>12</v>
      </c>
      <c r="H36" s="28">
        <f t="shared" si="5"/>
        <v>600</v>
      </c>
      <c r="I36" s="29"/>
      <c r="J36" s="29"/>
      <c r="K36" s="29"/>
      <c r="L36" s="29"/>
    </row>
    <row r="37" spans="1:13" outlineLevel="1">
      <c r="A37" s="7">
        <v>54140</v>
      </c>
      <c r="B37" s="7"/>
      <c r="C37" s="7" t="s">
        <v>24</v>
      </c>
      <c r="D37" s="7"/>
      <c r="E37" s="27" t="s">
        <v>61</v>
      </c>
      <c r="F37" s="28">
        <f>Salaries!N18</f>
        <v>95</v>
      </c>
      <c r="G37" s="28">
        <v>12</v>
      </c>
      <c r="H37" s="28">
        <f t="shared" si="5"/>
        <v>1140</v>
      </c>
      <c r="I37" s="28"/>
      <c r="J37" s="28"/>
      <c r="K37" s="28"/>
      <c r="L37" s="28"/>
    </row>
    <row r="38" spans="1:13" outlineLevel="1">
      <c r="A38" s="7">
        <v>54150</v>
      </c>
      <c r="B38" s="7"/>
      <c r="C38" s="7" t="s">
        <v>25</v>
      </c>
      <c r="D38" s="7"/>
      <c r="E38" s="27" t="s">
        <v>61</v>
      </c>
      <c r="F38" s="28">
        <v>200</v>
      </c>
      <c r="G38" s="28">
        <v>12</v>
      </c>
      <c r="H38" s="28">
        <f t="shared" si="5"/>
        <v>2400</v>
      </c>
      <c r="I38" s="28"/>
      <c r="J38" s="28"/>
      <c r="K38" s="28"/>
      <c r="L38" s="28"/>
    </row>
    <row r="39" spans="1:13" outlineLevel="1">
      <c r="A39" s="7">
        <v>54160</v>
      </c>
      <c r="B39" s="7"/>
      <c r="C39" s="7" t="s">
        <v>26</v>
      </c>
      <c r="D39" s="7"/>
      <c r="E39" s="27" t="s">
        <v>61</v>
      </c>
      <c r="F39" s="28">
        <v>20</v>
      </c>
      <c r="G39" s="28">
        <v>12</v>
      </c>
      <c r="H39" s="28">
        <f t="shared" si="5"/>
        <v>240</v>
      </c>
      <c r="I39" s="28"/>
      <c r="J39" s="28"/>
      <c r="K39" s="28"/>
      <c r="L39" s="28"/>
      <c r="M39" s="30"/>
    </row>
    <row r="40" spans="1:13">
      <c r="A40" s="3">
        <v>54200</v>
      </c>
      <c r="B40" s="3" t="s">
        <v>27</v>
      </c>
      <c r="C40" s="3"/>
      <c r="D40" s="3"/>
      <c r="E40" s="23"/>
      <c r="F40" s="24"/>
      <c r="G40" s="24"/>
      <c r="H40" s="24"/>
      <c r="I40" s="24"/>
      <c r="J40" s="24">
        <f>SUM(H41:H46)</f>
        <v>13800</v>
      </c>
      <c r="K40" s="49">
        <f>J40/$J$59</f>
        <v>0.1112696838489635</v>
      </c>
      <c r="L40" s="24">
        <f t="shared" ref="L40" si="6">J40/12</f>
        <v>1150</v>
      </c>
    </row>
    <row r="41" spans="1:13" outlineLevel="1">
      <c r="A41" s="5">
        <v>54210</v>
      </c>
      <c r="B41" s="5" t="s">
        <v>28</v>
      </c>
      <c r="C41" s="9"/>
      <c r="D41" s="9"/>
      <c r="E41" s="25"/>
      <c r="F41" s="26"/>
      <c r="G41" s="26"/>
      <c r="H41" s="26"/>
      <c r="I41" s="26">
        <f>SUM(H42:H43)</f>
        <v>6600</v>
      </c>
      <c r="J41" s="26"/>
      <c r="K41" s="26"/>
      <c r="L41" s="26"/>
    </row>
    <row r="42" spans="1:13" outlineLevel="1">
      <c r="A42" s="14">
        <v>54211</v>
      </c>
      <c r="B42" s="7"/>
      <c r="C42" s="8" t="s">
        <v>29</v>
      </c>
      <c r="D42" s="8"/>
      <c r="E42" s="27" t="s">
        <v>61</v>
      </c>
      <c r="F42" s="28">
        <v>450</v>
      </c>
      <c r="G42" s="28">
        <v>12</v>
      </c>
      <c r="H42" s="28">
        <f t="shared" ref="H42:H43" si="7">F42*G42</f>
        <v>5400</v>
      </c>
      <c r="I42" s="28"/>
      <c r="J42" s="28"/>
      <c r="K42" s="28"/>
      <c r="L42" s="28"/>
    </row>
    <row r="43" spans="1:13" outlineLevel="1">
      <c r="A43" s="14">
        <v>54212</v>
      </c>
      <c r="B43" s="7"/>
      <c r="C43" s="7" t="s">
        <v>30</v>
      </c>
      <c r="D43" s="7"/>
      <c r="E43" s="27" t="s">
        <v>61</v>
      </c>
      <c r="F43" s="28">
        <v>100</v>
      </c>
      <c r="G43" s="28">
        <v>12</v>
      </c>
      <c r="H43" s="28">
        <f t="shared" si="7"/>
        <v>1200</v>
      </c>
      <c r="I43" s="28"/>
      <c r="J43" s="28"/>
      <c r="K43" s="28"/>
      <c r="L43" s="28"/>
    </row>
    <row r="44" spans="1:13" outlineLevel="1">
      <c r="A44" s="5">
        <v>54220</v>
      </c>
      <c r="B44" s="9" t="s">
        <v>31</v>
      </c>
      <c r="C44" s="9"/>
      <c r="D44" s="9"/>
      <c r="E44" s="25"/>
      <c r="F44" s="26"/>
      <c r="G44" s="26"/>
      <c r="H44" s="26"/>
      <c r="I44" s="26">
        <f>SUM(H45:H46)</f>
        <v>7200</v>
      </c>
      <c r="J44" s="26"/>
      <c r="K44" s="26"/>
      <c r="L44" s="26"/>
    </row>
    <row r="45" spans="1:13" outlineLevel="1">
      <c r="A45" s="14">
        <v>54221</v>
      </c>
      <c r="B45" s="7"/>
      <c r="C45" s="7" t="s">
        <v>32</v>
      </c>
      <c r="D45" s="7"/>
      <c r="E45" s="27" t="s">
        <v>61</v>
      </c>
      <c r="F45" s="28">
        <v>200</v>
      </c>
      <c r="G45" s="28">
        <v>12</v>
      </c>
      <c r="H45" s="28">
        <f t="shared" ref="H45:H50" si="8">F45*G45</f>
        <v>2400</v>
      </c>
      <c r="I45" s="28"/>
      <c r="J45" s="28"/>
      <c r="K45" s="28"/>
      <c r="L45" s="28"/>
    </row>
    <row r="46" spans="1:13" outlineLevel="1">
      <c r="A46" s="14">
        <v>54222</v>
      </c>
      <c r="B46" s="7"/>
      <c r="C46" s="8" t="s">
        <v>33</v>
      </c>
      <c r="D46" s="8"/>
      <c r="E46" s="27" t="s">
        <v>61</v>
      </c>
      <c r="F46" s="28">
        <v>400</v>
      </c>
      <c r="G46" s="28">
        <v>12</v>
      </c>
      <c r="H46" s="28">
        <f t="shared" si="8"/>
        <v>4800</v>
      </c>
      <c r="I46" s="28"/>
      <c r="J46" s="28"/>
      <c r="K46" s="28"/>
      <c r="L46" s="28"/>
    </row>
    <row r="47" spans="1:13">
      <c r="A47" s="1">
        <v>55000</v>
      </c>
      <c r="B47" s="1" t="s">
        <v>34</v>
      </c>
      <c r="C47" s="36"/>
      <c r="D47" s="36"/>
      <c r="E47" s="37"/>
      <c r="F47" s="38"/>
      <c r="G47" s="38"/>
      <c r="H47" s="38"/>
      <c r="I47" s="38">
        <f>SUM(H48:H50)</f>
        <v>13000</v>
      </c>
      <c r="J47" s="22">
        <f>I47</f>
        <v>13000</v>
      </c>
      <c r="K47" s="48">
        <f>J47/$J$59</f>
        <v>0.10481926739395112</v>
      </c>
      <c r="L47" s="22">
        <f>J47/12</f>
        <v>1083.3333333333333</v>
      </c>
    </row>
    <row r="48" spans="1:13" outlineLevel="1">
      <c r="A48" s="14">
        <v>55100</v>
      </c>
      <c r="B48" s="7"/>
      <c r="C48" s="8" t="s">
        <v>35</v>
      </c>
      <c r="D48" s="8"/>
      <c r="E48" s="27" t="s">
        <v>61</v>
      </c>
      <c r="F48" s="28">
        <v>500</v>
      </c>
      <c r="G48" s="28">
        <v>12</v>
      </c>
      <c r="H48" s="28">
        <f t="shared" si="8"/>
        <v>6000</v>
      </c>
      <c r="I48" s="28"/>
      <c r="J48" s="28"/>
      <c r="K48" s="28"/>
      <c r="L48" s="28"/>
    </row>
    <row r="49" spans="1:12" outlineLevel="1">
      <c r="A49" s="14">
        <v>55200</v>
      </c>
      <c r="B49" s="7"/>
      <c r="C49" s="8" t="s">
        <v>36</v>
      </c>
      <c r="D49" s="8"/>
      <c r="E49" s="27" t="s">
        <v>102</v>
      </c>
      <c r="F49" s="28">
        <v>500</v>
      </c>
      <c r="G49" s="28">
        <v>4</v>
      </c>
      <c r="H49" s="28">
        <f t="shared" si="8"/>
        <v>2000</v>
      </c>
      <c r="I49" s="28"/>
      <c r="J49" s="28"/>
      <c r="K49" s="28"/>
      <c r="L49" s="28"/>
    </row>
    <row r="50" spans="1:12" outlineLevel="1">
      <c r="A50" s="14">
        <v>55300</v>
      </c>
      <c r="B50" s="7"/>
      <c r="C50" s="8" t="s">
        <v>37</v>
      </c>
      <c r="D50" s="8"/>
      <c r="E50" s="27" t="s">
        <v>101</v>
      </c>
      <c r="F50" s="28">
        <v>5000</v>
      </c>
      <c r="G50" s="28">
        <v>1</v>
      </c>
      <c r="H50" s="28">
        <f t="shared" si="8"/>
        <v>5000</v>
      </c>
      <c r="I50" s="28"/>
      <c r="J50" s="28"/>
      <c r="K50" s="28"/>
      <c r="L50" s="28"/>
    </row>
    <row r="51" spans="1:12">
      <c r="A51" s="1">
        <v>56000</v>
      </c>
      <c r="B51" s="1" t="s">
        <v>38</v>
      </c>
      <c r="C51" s="36"/>
      <c r="D51" s="36"/>
      <c r="E51" s="37"/>
      <c r="F51" s="38"/>
      <c r="G51" s="38"/>
      <c r="H51" s="38"/>
      <c r="I51" s="38"/>
      <c r="J51" s="38"/>
      <c r="K51" s="48">
        <f>J51/$J$59</f>
        <v>0</v>
      </c>
      <c r="L51" s="22">
        <f>J51/12</f>
        <v>0</v>
      </c>
    </row>
    <row r="52" spans="1:12" outlineLevel="1">
      <c r="A52" s="10">
        <v>56100</v>
      </c>
      <c r="B52" s="15"/>
      <c r="C52" s="10" t="s">
        <v>39</v>
      </c>
      <c r="D52" s="10"/>
      <c r="E52" s="39"/>
      <c r="F52" s="40"/>
      <c r="G52" s="40"/>
      <c r="H52" s="40"/>
      <c r="I52" s="40"/>
      <c r="J52" s="40"/>
      <c r="K52" s="40"/>
      <c r="L52" s="40"/>
    </row>
    <row r="53" spans="1:12" outlineLevel="1">
      <c r="A53" s="10">
        <v>56200</v>
      </c>
      <c r="B53" s="15"/>
      <c r="C53" s="10" t="s">
        <v>40</v>
      </c>
      <c r="D53" s="10"/>
      <c r="E53" s="39"/>
      <c r="F53" s="40"/>
      <c r="G53" s="40"/>
      <c r="H53" s="40"/>
      <c r="I53" s="40"/>
      <c r="J53" s="40"/>
      <c r="K53" s="40"/>
      <c r="L53" s="40"/>
    </row>
    <row r="54" spans="1:12" outlineLevel="1">
      <c r="A54" s="15">
        <v>56300</v>
      </c>
      <c r="B54" s="15"/>
      <c r="C54" s="10" t="s">
        <v>41</v>
      </c>
      <c r="D54" s="10"/>
      <c r="E54" s="39"/>
      <c r="F54" s="40"/>
      <c r="G54" s="40"/>
      <c r="H54" s="40"/>
      <c r="I54" s="40"/>
      <c r="J54" s="40"/>
      <c r="K54" s="40"/>
      <c r="L54" s="40"/>
    </row>
    <row r="55" spans="1:12">
      <c r="A55" s="1">
        <v>57000</v>
      </c>
      <c r="B55" s="1" t="s">
        <v>42</v>
      </c>
      <c r="C55" s="36"/>
      <c r="D55" s="36"/>
      <c r="E55" s="37"/>
      <c r="F55" s="38"/>
      <c r="G55" s="38"/>
      <c r="H55" s="38"/>
      <c r="I55" s="38"/>
      <c r="J55" s="38"/>
      <c r="K55" s="48">
        <f>J55/$J$59</f>
        <v>0</v>
      </c>
      <c r="L55" s="22">
        <f>J55/12</f>
        <v>0</v>
      </c>
    </row>
    <row r="56" spans="1:12" outlineLevel="1">
      <c r="A56" s="15">
        <v>57100</v>
      </c>
      <c r="B56" s="15"/>
      <c r="C56" s="10" t="s">
        <v>43</v>
      </c>
      <c r="D56" s="8"/>
      <c r="E56" s="27"/>
      <c r="F56" s="28"/>
      <c r="G56" s="28"/>
      <c r="H56" s="28"/>
      <c r="I56" s="28"/>
      <c r="J56" s="28"/>
      <c r="K56" s="28"/>
      <c r="L56" s="28"/>
    </row>
    <row r="57" spans="1:12" outlineLevel="1">
      <c r="A57" s="15">
        <v>57200</v>
      </c>
      <c r="B57" s="15"/>
      <c r="C57" s="10" t="s">
        <v>44</v>
      </c>
      <c r="D57" s="10"/>
      <c r="E57" s="39"/>
      <c r="F57" s="40"/>
      <c r="G57" s="40"/>
      <c r="H57" s="40"/>
      <c r="I57" s="40"/>
      <c r="J57" s="40"/>
      <c r="K57" s="40"/>
      <c r="L57" s="40"/>
    </row>
    <row r="58" spans="1:12" outlineLevel="1">
      <c r="A58" s="41">
        <v>57300</v>
      </c>
      <c r="B58" s="41"/>
      <c r="C58" s="42" t="s">
        <v>45</v>
      </c>
      <c r="D58" s="42"/>
      <c r="E58" s="39"/>
      <c r="F58" s="40"/>
      <c r="G58" s="40"/>
      <c r="H58" s="40"/>
      <c r="I58" s="40"/>
      <c r="J58" s="40"/>
      <c r="K58" s="40"/>
      <c r="L58" s="40"/>
    </row>
    <row r="59" spans="1:12" s="47" customFormat="1">
      <c r="A59" s="44"/>
      <c r="B59" s="44" t="s">
        <v>111</v>
      </c>
      <c r="C59" s="44"/>
      <c r="D59" s="44"/>
      <c r="E59" s="45"/>
      <c r="F59" s="46"/>
      <c r="G59" s="46"/>
      <c r="H59" s="46">
        <f>SUM(H4:H58)</f>
        <v>124023</v>
      </c>
      <c r="I59" s="46">
        <f>SUM(I4:I58)</f>
        <v>124023</v>
      </c>
      <c r="J59" s="46">
        <f>SUM(J4,J26,J30,J32,J47)</f>
        <v>124023</v>
      </c>
      <c r="K59" s="50">
        <f>J59/$J$59</f>
        <v>1</v>
      </c>
      <c r="L59" s="46">
        <f>SUM(L4,L26,L30,L32,L47)</f>
        <v>10335.250000000002</v>
      </c>
    </row>
  </sheetData>
  <mergeCells count="10">
    <mergeCell ref="A1:A3"/>
    <mergeCell ref="K1:K2"/>
    <mergeCell ref="L1:L2"/>
    <mergeCell ref="B1:D3"/>
    <mergeCell ref="F1:F2"/>
    <mergeCell ref="G1:G2"/>
    <mergeCell ref="H1:H2"/>
    <mergeCell ref="I1:I2"/>
    <mergeCell ref="J1:J2"/>
    <mergeCell ref="E1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2"/>
  <sheetViews>
    <sheetView topLeftCell="A3" workbookViewId="0">
      <selection activeCell="N18" sqref="N18"/>
    </sheetView>
  </sheetViews>
  <sheetFormatPr defaultRowHeight="15"/>
  <cols>
    <col min="1" max="1" width="37.140625" style="20" customWidth="1"/>
    <col min="2" max="13" width="10.42578125" style="20" customWidth="1"/>
    <col min="14" max="14" width="11.140625" style="20" customWidth="1"/>
    <col min="15" max="15" width="12.28515625" style="20" customWidth="1"/>
    <col min="16" max="16384" width="9.140625" style="20"/>
  </cols>
  <sheetData>
    <row r="1" spans="1:15" ht="27.75" customHeight="1">
      <c r="A1" s="51" t="s">
        <v>124</v>
      </c>
      <c r="B1" s="51"/>
      <c r="J1" s="52"/>
    </row>
    <row r="2" spans="1:15" ht="17.25" customHeight="1">
      <c r="A2" s="53"/>
      <c r="B2" s="54" t="s">
        <v>62</v>
      </c>
      <c r="C2" s="55" t="s">
        <v>63</v>
      </c>
      <c r="D2" s="55" t="s">
        <v>87</v>
      </c>
      <c r="E2" s="56" t="s">
        <v>70</v>
      </c>
      <c r="F2" s="56" t="s">
        <v>69</v>
      </c>
      <c r="G2" s="55" t="s">
        <v>67</v>
      </c>
      <c r="H2" s="55" t="s">
        <v>65</v>
      </c>
      <c r="I2" s="55" t="s">
        <v>66</v>
      </c>
      <c r="J2" s="55" t="s">
        <v>64</v>
      </c>
      <c r="K2" s="56" t="s">
        <v>68</v>
      </c>
      <c r="L2" s="55" t="s">
        <v>71</v>
      </c>
      <c r="M2" s="55" t="s">
        <v>72</v>
      </c>
    </row>
    <row r="3" spans="1:15" ht="17.25" customHeight="1">
      <c r="A3" s="57" t="s">
        <v>107</v>
      </c>
      <c r="B3" s="58">
        <v>1000</v>
      </c>
      <c r="C3" s="59">
        <v>350</v>
      </c>
      <c r="D3" s="59">
        <v>250</v>
      </c>
      <c r="E3" s="59">
        <v>300</v>
      </c>
      <c r="F3" s="59">
        <v>230</v>
      </c>
      <c r="G3" s="59">
        <v>170</v>
      </c>
      <c r="H3" s="59">
        <v>170</v>
      </c>
      <c r="I3" s="59">
        <v>170</v>
      </c>
      <c r="J3" s="59">
        <v>170</v>
      </c>
      <c r="K3" s="59">
        <v>170</v>
      </c>
      <c r="L3" s="59">
        <v>210</v>
      </c>
      <c r="M3" s="59">
        <v>200</v>
      </c>
    </row>
    <row r="4" spans="1:15" ht="17.25" customHeight="1">
      <c r="A4" s="60" t="s">
        <v>110</v>
      </c>
      <c r="B4" s="61">
        <v>1100</v>
      </c>
      <c r="C4" s="62">
        <v>510</v>
      </c>
      <c r="D4" s="62">
        <v>260</v>
      </c>
      <c r="E4" s="63">
        <v>330</v>
      </c>
      <c r="F4" s="62">
        <v>250</v>
      </c>
      <c r="G4" s="62">
        <v>240</v>
      </c>
      <c r="H4" s="62">
        <v>240</v>
      </c>
      <c r="I4" s="62">
        <v>240</v>
      </c>
      <c r="J4" s="62">
        <v>240</v>
      </c>
      <c r="K4" s="62">
        <v>200</v>
      </c>
      <c r="L4" s="62">
        <v>250</v>
      </c>
      <c r="M4" s="63">
        <v>210</v>
      </c>
    </row>
    <row r="5" spans="1:15" ht="17.25" customHeight="1">
      <c r="A5" s="60" t="s">
        <v>73</v>
      </c>
      <c r="B5" s="64">
        <v>6</v>
      </c>
      <c r="C5" s="65">
        <v>6</v>
      </c>
      <c r="D5" s="65">
        <v>6</v>
      </c>
      <c r="E5" s="65">
        <v>6</v>
      </c>
      <c r="F5" s="65">
        <v>6</v>
      </c>
      <c r="G5" s="65">
        <v>6</v>
      </c>
      <c r="H5" s="65">
        <v>6</v>
      </c>
      <c r="I5" s="65">
        <v>6</v>
      </c>
      <c r="J5" s="65">
        <v>6</v>
      </c>
      <c r="K5" s="65">
        <v>6</v>
      </c>
      <c r="L5" s="65">
        <v>6</v>
      </c>
      <c r="M5" s="65">
        <v>6</v>
      </c>
      <c r="N5" s="30"/>
    </row>
    <row r="6" spans="1:15" ht="17.25" customHeight="1">
      <c r="A6" s="60" t="s">
        <v>74</v>
      </c>
      <c r="B6" s="61">
        <v>1250</v>
      </c>
      <c r="C6" s="63">
        <v>550</v>
      </c>
      <c r="D6" s="63">
        <v>280</v>
      </c>
      <c r="E6" s="63">
        <v>350</v>
      </c>
      <c r="F6" s="63">
        <v>250</v>
      </c>
      <c r="G6" s="63">
        <v>250</v>
      </c>
      <c r="H6" s="63">
        <v>250</v>
      </c>
      <c r="I6" s="63">
        <v>250</v>
      </c>
      <c r="J6" s="63">
        <v>250</v>
      </c>
      <c r="K6" s="63">
        <v>210</v>
      </c>
      <c r="L6" s="63">
        <v>260</v>
      </c>
      <c r="M6" s="65">
        <v>220</v>
      </c>
    </row>
    <row r="7" spans="1:15" ht="17.25" customHeight="1">
      <c r="A7" s="60" t="s">
        <v>73</v>
      </c>
      <c r="B7" s="65">
        <f t="shared" ref="B7:G7" si="0">12-B5</f>
        <v>6</v>
      </c>
      <c r="C7" s="65">
        <f t="shared" si="0"/>
        <v>6</v>
      </c>
      <c r="D7" s="65">
        <f t="shared" si="0"/>
        <v>6</v>
      </c>
      <c r="E7" s="65">
        <f t="shared" si="0"/>
        <v>6</v>
      </c>
      <c r="F7" s="65">
        <f t="shared" si="0"/>
        <v>6</v>
      </c>
      <c r="G7" s="65">
        <f t="shared" si="0"/>
        <v>6</v>
      </c>
      <c r="H7" s="65">
        <f t="shared" ref="H7:M7" si="1">12-H5</f>
        <v>6</v>
      </c>
      <c r="I7" s="65">
        <f t="shared" si="1"/>
        <v>6</v>
      </c>
      <c r="J7" s="65">
        <f>12-J5</f>
        <v>6</v>
      </c>
      <c r="K7" s="65">
        <f t="shared" si="1"/>
        <v>6</v>
      </c>
      <c r="L7" s="65">
        <f t="shared" si="1"/>
        <v>6</v>
      </c>
      <c r="M7" s="65">
        <f t="shared" si="1"/>
        <v>6</v>
      </c>
    </row>
    <row r="8" spans="1:15" ht="17.25" customHeight="1">
      <c r="A8" s="60" t="s">
        <v>108</v>
      </c>
      <c r="B8" s="61">
        <f t="shared" ref="B8:M8" si="2">B6-B4</f>
        <v>150</v>
      </c>
      <c r="C8" s="63">
        <f t="shared" si="2"/>
        <v>40</v>
      </c>
      <c r="D8" s="63">
        <f t="shared" si="2"/>
        <v>20</v>
      </c>
      <c r="E8" s="63">
        <f t="shared" si="2"/>
        <v>20</v>
      </c>
      <c r="F8" s="63">
        <f t="shared" si="2"/>
        <v>0</v>
      </c>
      <c r="G8" s="63">
        <f t="shared" si="2"/>
        <v>10</v>
      </c>
      <c r="H8" s="63">
        <f t="shared" si="2"/>
        <v>10</v>
      </c>
      <c r="I8" s="63">
        <f t="shared" si="2"/>
        <v>10</v>
      </c>
      <c r="J8" s="63">
        <f t="shared" si="2"/>
        <v>10</v>
      </c>
      <c r="K8" s="63">
        <f t="shared" si="2"/>
        <v>10</v>
      </c>
      <c r="L8" s="63">
        <f t="shared" si="2"/>
        <v>10</v>
      </c>
      <c r="M8" s="63">
        <f t="shared" si="2"/>
        <v>10</v>
      </c>
    </row>
    <row r="9" spans="1:15" ht="17.25" customHeight="1">
      <c r="A9" s="66" t="s">
        <v>109</v>
      </c>
      <c r="B9" s="67">
        <f t="shared" ref="B9:M9" si="3">B8/B4</f>
        <v>0.13636363636363635</v>
      </c>
      <c r="C9" s="67">
        <f t="shared" si="3"/>
        <v>7.8431372549019607E-2</v>
      </c>
      <c r="D9" s="67">
        <f t="shared" si="3"/>
        <v>7.6923076923076927E-2</v>
      </c>
      <c r="E9" s="67">
        <f t="shared" si="3"/>
        <v>6.0606060606060608E-2</v>
      </c>
      <c r="F9" s="67">
        <f t="shared" si="3"/>
        <v>0</v>
      </c>
      <c r="G9" s="67">
        <f t="shared" si="3"/>
        <v>4.1666666666666664E-2</v>
      </c>
      <c r="H9" s="67">
        <f t="shared" si="3"/>
        <v>4.1666666666666664E-2</v>
      </c>
      <c r="I9" s="67">
        <f t="shared" si="3"/>
        <v>4.1666666666666664E-2</v>
      </c>
      <c r="J9" s="67">
        <f t="shared" si="3"/>
        <v>4.1666666666666664E-2</v>
      </c>
      <c r="K9" s="67">
        <f t="shared" si="3"/>
        <v>0.05</v>
      </c>
      <c r="L9" s="67">
        <f t="shared" si="3"/>
        <v>0.04</v>
      </c>
      <c r="M9" s="67">
        <f t="shared" si="3"/>
        <v>4.7619047619047616E-2</v>
      </c>
    </row>
    <row r="10" spans="1:15" ht="17.25" customHeight="1">
      <c r="A10" s="53" t="s">
        <v>75</v>
      </c>
      <c r="B10" s="68">
        <f>B4*B5++B6*B7</f>
        <v>14100</v>
      </c>
      <c r="C10" s="68">
        <f t="shared" ref="C10:M10" si="4">C4*C5++C6*C7</f>
        <v>6360</v>
      </c>
      <c r="D10" s="68">
        <f t="shared" ref="D10" si="5">D4*D5++D6*D7</f>
        <v>3240</v>
      </c>
      <c r="E10" s="68">
        <f t="shared" si="4"/>
        <v>4080</v>
      </c>
      <c r="F10" s="68">
        <f t="shared" si="4"/>
        <v>3000</v>
      </c>
      <c r="G10" s="68">
        <f t="shared" si="4"/>
        <v>2940</v>
      </c>
      <c r="H10" s="68">
        <f t="shared" si="4"/>
        <v>2940</v>
      </c>
      <c r="I10" s="68">
        <f t="shared" si="4"/>
        <v>2940</v>
      </c>
      <c r="J10" s="68">
        <f t="shared" si="4"/>
        <v>2940</v>
      </c>
      <c r="K10" s="68">
        <f t="shared" si="4"/>
        <v>2460</v>
      </c>
      <c r="L10" s="68">
        <f t="shared" si="4"/>
        <v>3060</v>
      </c>
      <c r="M10" s="68">
        <f t="shared" si="4"/>
        <v>2580</v>
      </c>
    </row>
    <row r="11" spans="1:15" ht="17.25" customHeight="1">
      <c r="A11" s="69" t="s">
        <v>76</v>
      </c>
      <c r="B11" s="70">
        <f t="shared" ref="B11:M11" si="6">B4/2</f>
        <v>550</v>
      </c>
      <c r="C11" s="70">
        <f t="shared" si="6"/>
        <v>255</v>
      </c>
      <c r="D11" s="70">
        <f t="shared" si="6"/>
        <v>130</v>
      </c>
      <c r="E11" s="70">
        <f t="shared" si="6"/>
        <v>165</v>
      </c>
      <c r="F11" s="70">
        <f t="shared" si="6"/>
        <v>125</v>
      </c>
      <c r="G11" s="70">
        <f t="shared" si="6"/>
        <v>120</v>
      </c>
      <c r="H11" s="70">
        <f t="shared" si="6"/>
        <v>120</v>
      </c>
      <c r="I11" s="70">
        <f t="shared" si="6"/>
        <v>120</v>
      </c>
      <c r="J11" s="70">
        <f t="shared" si="6"/>
        <v>120</v>
      </c>
      <c r="K11" s="70">
        <f t="shared" si="6"/>
        <v>100</v>
      </c>
      <c r="L11" s="70">
        <f t="shared" si="6"/>
        <v>125</v>
      </c>
      <c r="M11" s="70">
        <f t="shared" si="6"/>
        <v>105</v>
      </c>
    </row>
    <row r="12" spans="1:15" ht="17.25" customHeight="1">
      <c r="A12" s="71" t="s">
        <v>77</v>
      </c>
      <c r="B12" s="62">
        <f>B6/2</f>
        <v>625</v>
      </c>
      <c r="C12" s="62">
        <f t="shared" ref="C12:M12" si="7">C6/2</f>
        <v>275</v>
      </c>
      <c r="D12" s="62">
        <f t="shared" ref="D12" si="8">D6/2</f>
        <v>140</v>
      </c>
      <c r="E12" s="62">
        <f>E6/2</f>
        <v>175</v>
      </c>
      <c r="F12" s="62">
        <f>F6/2</f>
        <v>125</v>
      </c>
      <c r="G12" s="62">
        <f>G6/2</f>
        <v>125</v>
      </c>
      <c r="H12" s="62">
        <f t="shared" si="7"/>
        <v>125</v>
      </c>
      <c r="I12" s="62">
        <f t="shared" si="7"/>
        <v>125</v>
      </c>
      <c r="J12" s="62">
        <f>J6/2</f>
        <v>125</v>
      </c>
      <c r="K12" s="62">
        <f t="shared" si="7"/>
        <v>105</v>
      </c>
      <c r="L12" s="62">
        <f t="shared" si="7"/>
        <v>130</v>
      </c>
      <c r="M12" s="62">
        <f t="shared" si="7"/>
        <v>110</v>
      </c>
      <c r="N12" s="72"/>
    </row>
    <row r="13" spans="1:15" ht="17.25" customHeight="1">
      <c r="A13" s="71" t="s">
        <v>78</v>
      </c>
      <c r="B13" s="62">
        <f>SUM(B10:B12)*5%</f>
        <v>763.75</v>
      </c>
      <c r="C13" s="63">
        <f t="shared" ref="C13:I13" si="9">SUM(C10:C12)*5%</f>
        <v>344.5</v>
      </c>
      <c r="D13" s="63">
        <f t="shared" ref="D13" si="10">SUM(D10:D12)*5%</f>
        <v>175.5</v>
      </c>
      <c r="E13" s="63">
        <f>SUM(E10:E12)*5%</f>
        <v>221</v>
      </c>
      <c r="F13" s="63">
        <f>SUM(F10:F12)*5%</f>
        <v>162.5</v>
      </c>
      <c r="G13" s="63">
        <f>SUM(G10:G12)*5%</f>
        <v>159.25</v>
      </c>
      <c r="H13" s="63">
        <f t="shared" si="9"/>
        <v>159.25</v>
      </c>
      <c r="I13" s="63">
        <f t="shared" si="9"/>
        <v>159.25</v>
      </c>
      <c r="J13" s="63">
        <f>SUM(J10:J12)*5%</f>
        <v>159.25</v>
      </c>
      <c r="K13" s="63">
        <f>SUM(K10:K12)*5%</f>
        <v>133.25</v>
      </c>
      <c r="L13" s="63">
        <f t="shared" ref="L13:M13" si="11">SUM(L10:L12)*5%</f>
        <v>165.75</v>
      </c>
      <c r="M13" s="63">
        <f t="shared" si="11"/>
        <v>139.75</v>
      </c>
    </row>
    <row r="14" spans="1:15" ht="17.25" customHeight="1">
      <c r="A14" s="66" t="s">
        <v>79</v>
      </c>
      <c r="B14" s="73">
        <v>130</v>
      </c>
      <c r="C14" s="74">
        <v>130</v>
      </c>
      <c r="D14" s="74">
        <v>130</v>
      </c>
      <c r="E14" s="74">
        <v>130</v>
      </c>
      <c r="F14" s="74">
        <v>130</v>
      </c>
      <c r="G14" s="74">
        <v>130</v>
      </c>
      <c r="H14" s="74">
        <v>130</v>
      </c>
      <c r="I14" s="74">
        <v>130</v>
      </c>
      <c r="J14" s="74">
        <v>130</v>
      </c>
      <c r="K14" s="74">
        <v>130</v>
      </c>
      <c r="L14" s="74">
        <v>130</v>
      </c>
      <c r="M14" s="74">
        <v>130</v>
      </c>
    </row>
    <row r="15" spans="1:15" ht="17.25" customHeight="1">
      <c r="A15" s="53" t="s">
        <v>80</v>
      </c>
      <c r="B15" s="68">
        <f>SUM(B10:B14)</f>
        <v>16168.75</v>
      </c>
      <c r="C15" s="68">
        <f t="shared" ref="C15:M15" si="12">SUM(C10:C14)</f>
        <v>7364.5</v>
      </c>
      <c r="D15" s="68">
        <f t="shared" ref="D15" si="13">SUM(D10:D14)</f>
        <v>3815.5</v>
      </c>
      <c r="E15" s="68">
        <f>SUM(E10:E14)</f>
        <v>4771</v>
      </c>
      <c r="F15" s="68">
        <f>SUM(F10:F14)</f>
        <v>3542.5</v>
      </c>
      <c r="G15" s="68">
        <f>SUM(G10:G14)</f>
        <v>3474.25</v>
      </c>
      <c r="H15" s="68">
        <f t="shared" si="12"/>
        <v>3474.25</v>
      </c>
      <c r="I15" s="68">
        <f t="shared" si="12"/>
        <v>3474.25</v>
      </c>
      <c r="J15" s="68">
        <f>SUM(J10:J14)</f>
        <v>3474.25</v>
      </c>
      <c r="K15" s="68">
        <f t="shared" si="12"/>
        <v>2928.25</v>
      </c>
      <c r="L15" s="68">
        <f t="shared" si="12"/>
        <v>3610.75</v>
      </c>
      <c r="M15" s="68">
        <f t="shared" si="12"/>
        <v>3064.75</v>
      </c>
      <c r="N15" s="20" t="s">
        <v>93</v>
      </c>
      <c r="O15" s="20" t="s">
        <v>94</v>
      </c>
    </row>
    <row r="16" spans="1:15" s="78" customFormat="1" ht="17.25" customHeight="1">
      <c r="A16" s="75" t="s">
        <v>81</v>
      </c>
      <c r="B16" s="76">
        <f>B15/(B5+B7)</f>
        <v>1347.3958333333333</v>
      </c>
      <c r="C16" s="76">
        <f t="shared" ref="C16:M16" si="14">C15/(C5+C7)</f>
        <v>613.70833333333337</v>
      </c>
      <c r="D16" s="76">
        <f t="shared" si="14"/>
        <v>317.95833333333331</v>
      </c>
      <c r="E16" s="76">
        <f t="shared" si="14"/>
        <v>397.58333333333331</v>
      </c>
      <c r="F16" s="76">
        <f t="shared" si="14"/>
        <v>295.20833333333331</v>
      </c>
      <c r="G16" s="76">
        <f t="shared" si="14"/>
        <v>289.52083333333331</v>
      </c>
      <c r="H16" s="76">
        <f t="shared" si="14"/>
        <v>289.52083333333331</v>
      </c>
      <c r="I16" s="76">
        <f t="shared" si="14"/>
        <v>289.52083333333331</v>
      </c>
      <c r="J16" s="76">
        <f t="shared" si="14"/>
        <v>289.52083333333331</v>
      </c>
      <c r="K16" s="76">
        <f t="shared" si="14"/>
        <v>244.02083333333334</v>
      </c>
      <c r="L16" s="76">
        <f t="shared" si="14"/>
        <v>300.89583333333331</v>
      </c>
      <c r="M16" s="76">
        <f t="shared" si="14"/>
        <v>255.39583333333334</v>
      </c>
      <c r="N16" s="77">
        <f>SUM(B16:M16)</f>
        <v>4930.25</v>
      </c>
      <c r="O16" s="77">
        <f>N16-SUM(E16:F16,K16)</f>
        <v>3993.4375</v>
      </c>
    </row>
    <row r="17" spans="1:15" ht="17.25" customHeight="1">
      <c r="C17" s="72"/>
      <c r="D17" s="72"/>
      <c r="E17" s="72"/>
      <c r="G17" s="72"/>
      <c r="H17" s="72"/>
      <c r="I17" s="72"/>
      <c r="J17" s="72"/>
      <c r="K17" s="72"/>
      <c r="L17" s="72"/>
      <c r="M17" s="72"/>
    </row>
    <row r="18" spans="1:15" ht="17.25" customHeight="1">
      <c r="A18" s="85" t="s">
        <v>82</v>
      </c>
      <c r="B18" s="85">
        <v>20</v>
      </c>
      <c r="C18" s="86">
        <v>20</v>
      </c>
      <c r="D18" s="86">
        <v>10</v>
      </c>
      <c r="E18" s="86">
        <v>5</v>
      </c>
      <c r="F18" s="86">
        <v>5</v>
      </c>
      <c r="G18" s="86">
        <v>5</v>
      </c>
      <c r="H18" s="86">
        <v>5</v>
      </c>
      <c r="I18" s="86">
        <v>5</v>
      </c>
      <c r="J18" s="86">
        <v>5</v>
      </c>
      <c r="K18" s="86">
        <v>5</v>
      </c>
      <c r="L18" s="86">
        <v>5</v>
      </c>
      <c r="M18" s="86">
        <v>5</v>
      </c>
      <c r="N18" s="86">
        <f>SUM(B18:M18)</f>
        <v>95</v>
      </c>
    </row>
    <row r="19" spans="1:15" ht="17.25" customHeight="1">
      <c r="A19" s="79" t="s">
        <v>83</v>
      </c>
      <c r="B19" s="79"/>
      <c r="C19" s="80"/>
      <c r="D19" s="80">
        <v>22</v>
      </c>
      <c r="E19" s="80"/>
      <c r="F19" s="80">
        <v>22</v>
      </c>
      <c r="G19" s="80">
        <v>22</v>
      </c>
      <c r="H19" s="80">
        <v>22</v>
      </c>
      <c r="I19" s="80">
        <v>22</v>
      </c>
      <c r="J19" s="80">
        <v>22</v>
      </c>
      <c r="K19" s="80">
        <v>22</v>
      </c>
      <c r="L19" s="80">
        <v>22</v>
      </c>
      <c r="M19" s="80">
        <v>5</v>
      </c>
      <c r="N19" s="80">
        <f>SUM(B19:M19)</f>
        <v>181</v>
      </c>
    </row>
    <row r="20" spans="1:15" ht="17.25" customHeight="1">
      <c r="A20" s="81" t="s">
        <v>84</v>
      </c>
      <c r="B20" s="81"/>
      <c r="C20" s="82"/>
      <c r="D20" s="82">
        <v>11</v>
      </c>
      <c r="E20" s="82"/>
      <c r="F20" s="82">
        <v>11</v>
      </c>
      <c r="G20" s="82">
        <v>11</v>
      </c>
      <c r="H20" s="82">
        <v>11</v>
      </c>
      <c r="I20" s="82">
        <v>11</v>
      </c>
      <c r="J20" s="82">
        <v>11</v>
      </c>
      <c r="K20" s="82">
        <v>11</v>
      </c>
      <c r="L20" s="82">
        <v>11</v>
      </c>
      <c r="M20" s="82">
        <v>3</v>
      </c>
      <c r="N20" s="82">
        <f t="shared" ref="N20:N21" si="15">SUM(B20:M20)</f>
        <v>91</v>
      </c>
    </row>
    <row r="21" spans="1:15" ht="17.25" customHeight="1">
      <c r="A21" s="83" t="s">
        <v>85</v>
      </c>
      <c r="B21" s="83"/>
      <c r="C21" s="84"/>
      <c r="D21" s="84">
        <v>20</v>
      </c>
      <c r="E21" s="84"/>
      <c r="F21" s="84">
        <v>20</v>
      </c>
      <c r="G21" s="84">
        <v>20</v>
      </c>
      <c r="H21" s="84">
        <v>20</v>
      </c>
      <c r="I21" s="84">
        <v>20</v>
      </c>
      <c r="J21" s="84">
        <v>20</v>
      </c>
      <c r="K21" s="84">
        <v>20</v>
      </c>
      <c r="L21" s="84">
        <v>20</v>
      </c>
      <c r="M21" s="84">
        <v>5</v>
      </c>
      <c r="N21" s="84">
        <f t="shared" si="15"/>
        <v>165</v>
      </c>
      <c r="O21" s="30"/>
    </row>
    <row r="22" spans="1:15">
      <c r="A22" s="87" t="s">
        <v>106</v>
      </c>
      <c r="B22" s="87">
        <f>SUM(B19:B21)</f>
        <v>0</v>
      </c>
      <c r="C22" s="87">
        <f t="shared" ref="C22:N22" si="16">SUM(C19:C21)</f>
        <v>0</v>
      </c>
      <c r="D22" s="87">
        <f t="shared" si="16"/>
        <v>53</v>
      </c>
      <c r="E22" s="87">
        <f t="shared" si="16"/>
        <v>0</v>
      </c>
      <c r="F22" s="87">
        <f t="shared" si="16"/>
        <v>53</v>
      </c>
      <c r="G22" s="87">
        <f t="shared" si="16"/>
        <v>53</v>
      </c>
      <c r="H22" s="87">
        <f t="shared" si="16"/>
        <v>53</v>
      </c>
      <c r="I22" s="87">
        <f t="shared" si="16"/>
        <v>53</v>
      </c>
      <c r="J22" s="87">
        <f t="shared" si="16"/>
        <v>53</v>
      </c>
      <c r="K22" s="87">
        <f t="shared" si="16"/>
        <v>53</v>
      </c>
      <c r="L22" s="87">
        <f t="shared" si="16"/>
        <v>53</v>
      </c>
      <c r="M22" s="87">
        <f t="shared" si="16"/>
        <v>13</v>
      </c>
      <c r="N22" s="87">
        <f t="shared" si="16"/>
        <v>437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I8" sqref="I8"/>
    </sheetView>
  </sheetViews>
  <sheetFormatPr defaultRowHeight="15"/>
  <cols>
    <col min="1" max="1" width="29.42578125" style="88" customWidth="1"/>
    <col min="2" max="2" width="14.42578125" style="88" customWidth="1"/>
    <col min="3" max="3" width="12.140625" style="88" customWidth="1"/>
    <col min="4" max="4" width="9.5703125" style="88" bestFit="1" customWidth="1"/>
    <col min="5" max="16384" width="9.140625" style="88"/>
  </cols>
  <sheetData>
    <row r="1" spans="1:4" ht="39" customHeight="1">
      <c r="A1" s="110" t="s">
        <v>112</v>
      </c>
    </row>
    <row r="2" spans="1:4">
      <c r="C2" s="52">
        <v>1.32</v>
      </c>
      <c r="D2" s="88" t="s">
        <v>86</v>
      </c>
    </row>
    <row r="3" spans="1:4" ht="34.5" customHeight="1">
      <c r="B3" s="89" t="s">
        <v>113</v>
      </c>
      <c r="C3" s="90" t="s">
        <v>114</v>
      </c>
      <c r="D3" s="91" t="s">
        <v>54</v>
      </c>
    </row>
    <row r="4" spans="1:4" ht="23.25" customHeight="1">
      <c r="A4" s="92" t="s">
        <v>115</v>
      </c>
      <c r="B4" s="93">
        <v>375000</v>
      </c>
      <c r="C4" s="94">
        <f t="shared" ref="C4:C9" si="0">B4*C$2</f>
        <v>495000</v>
      </c>
      <c r="D4" s="111">
        <v>1</v>
      </c>
    </row>
    <row r="5" spans="1:4" ht="23.25" customHeight="1">
      <c r="A5" s="95" t="s">
        <v>116</v>
      </c>
      <c r="B5" s="96">
        <f>138000+17850</f>
        <v>155850</v>
      </c>
      <c r="C5" s="97">
        <f t="shared" si="0"/>
        <v>205722</v>
      </c>
      <c r="D5" s="112">
        <f>B5/B4</f>
        <v>0.41560000000000002</v>
      </c>
    </row>
    <row r="6" spans="1:4" ht="34.5" customHeight="1">
      <c r="A6" s="98" t="s">
        <v>117</v>
      </c>
      <c r="B6" s="99">
        <f>B4-B5</f>
        <v>219150</v>
      </c>
      <c r="C6" s="100">
        <f t="shared" si="0"/>
        <v>289278</v>
      </c>
      <c r="D6" s="113">
        <f>B6/B4</f>
        <v>0.58440000000000003</v>
      </c>
    </row>
    <row r="7" spans="1:4" ht="34.5" customHeight="1">
      <c r="A7" s="92" t="s">
        <v>118</v>
      </c>
      <c r="B7" s="93">
        <v>102375</v>
      </c>
      <c r="C7" s="94">
        <f t="shared" si="0"/>
        <v>135135</v>
      </c>
      <c r="D7" s="111">
        <f>C7/C6</f>
        <v>0.4671457905544148</v>
      </c>
    </row>
    <row r="8" spans="1:4" ht="34.5" customHeight="1">
      <c r="A8" s="95" t="s">
        <v>119</v>
      </c>
      <c r="B8" s="96">
        <v>37656</v>
      </c>
      <c r="C8" s="97">
        <f t="shared" si="0"/>
        <v>49705.920000000006</v>
      </c>
      <c r="D8" s="112">
        <f>C8/C$6</f>
        <v>0.17182751540041069</v>
      </c>
    </row>
    <row r="9" spans="1:4" ht="34.5" customHeight="1">
      <c r="A9" s="101" t="s">
        <v>120</v>
      </c>
      <c r="B9" s="102">
        <f>B6-B7-B8</f>
        <v>79119</v>
      </c>
      <c r="C9" s="103">
        <f t="shared" si="0"/>
        <v>104437.08</v>
      </c>
      <c r="D9" s="114">
        <f>C9/C$6</f>
        <v>0.36102669404517457</v>
      </c>
    </row>
    <row r="10" spans="1:4" ht="34.5" customHeight="1">
      <c r="A10" s="104" t="s">
        <v>121</v>
      </c>
      <c r="B10" s="105"/>
      <c r="C10" s="106">
        <f>'[1]Expenses follow-up $'!S29-'[1]Expenses follow-up $'!O29-'[1]Expenses follow-up $'!S5-'[1]Expenses follow-up $'!S6</f>
        <v>67441</v>
      </c>
      <c r="D10" s="115"/>
    </row>
    <row r="11" spans="1:4" ht="34.5" customHeight="1">
      <c r="A11" s="117" t="s">
        <v>122</v>
      </c>
      <c r="B11" s="118"/>
      <c r="C11" s="119">
        <f>C9-C10</f>
        <v>36996.080000000002</v>
      </c>
      <c r="D11" s="120"/>
    </row>
    <row r="12" spans="1:4" ht="34.5" customHeight="1">
      <c r="A12" s="107" t="s">
        <v>123</v>
      </c>
      <c r="B12" s="108"/>
      <c r="C12" s="109">
        <v>37890</v>
      </c>
      <c r="D12" s="116"/>
    </row>
    <row r="13" spans="1:4">
      <c r="B13" s="52"/>
      <c r="C13" s="52"/>
      <c r="D13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Salaries</vt:lpstr>
      <vt:lpstr>ASIrri financial situation</vt:lpstr>
    </vt:vector>
  </TitlesOfParts>
  <Company>GRET-SKY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GRET-SKY</dc:creator>
  <cp:lastModifiedBy>GRET-SKY</cp:lastModifiedBy>
  <dcterms:created xsi:type="dcterms:W3CDTF">2011-11-03T01:53:20Z</dcterms:created>
  <dcterms:modified xsi:type="dcterms:W3CDTF">2011-11-04T08:38:36Z</dcterms:modified>
</cp:coreProperties>
</file>