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385"/>
  </bookViews>
  <sheets>
    <sheet name="ISC Budget" sheetId="1" r:id="rId1"/>
    <sheet name="Salary costs" sheetId="2" r:id="rId2"/>
    <sheet name="Business plan" sheetId="5" r:id="rId3"/>
    <sheet name="Sheet2" sheetId="6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B19" i="5"/>
  <c r="F30" i="6"/>
  <c r="F31"/>
  <c r="D44"/>
  <c r="D43"/>
  <c r="D42"/>
  <c r="D41"/>
  <c r="D40"/>
  <c r="D39"/>
  <c r="E44"/>
  <c r="E43"/>
  <c r="E42"/>
  <c r="E41"/>
  <c r="E40"/>
  <c r="E39"/>
  <c r="C40"/>
  <c r="C41"/>
  <c r="C42"/>
  <c r="C43"/>
  <c r="C44"/>
  <c r="C39"/>
  <c r="B40"/>
  <c r="B41"/>
  <c r="B42"/>
  <c r="F42" s="1"/>
  <c r="B43"/>
  <c r="B44"/>
  <c r="B39"/>
  <c r="F13"/>
  <c r="F14"/>
  <c r="D12"/>
  <c r="F12" s="1"/>
  <c r="F11"/>
  <c r="D10"/>
  <c r="F10" s="1"/>
  <c r="F9"/>
  <c r="G12" i="5"/>
  <c r="G22"/>
  <c r="G19"/>
  <c r="G16"/>
  <c r="G13"/>
  <c r="G11"/>
  <c r="G9"/>
  <c r="G17" s="1"/>
  <c r="G8"/>
  <c r="G23" s="1"/>
  <c r="G6"/>
  <c r="F40" i="6" l="1"/>
  <c r="F44"/>
  <c r="F39"/>
  <c r="F41"/>
  <c r="H38" s="1"/>
  <c r="F43"/>
  <c r="H7"/>
  <c r="D35" s="1"/>
  <c r="F35" s="1"/>
  <c r="G24" i="5"/>
  <c r="G25" s="1"/>
  <c r="G20"/>
  <c r="G18"/>
  <c r="C23"/>
  <c r="D17"/>
  <c r="F17"/>
  <c r="J21"/>
  <c r="C6"/>
  <c r="C8"/>
  <c r="C12" s="1"/>
  <c r="C13" s="1"/>
  <c r="C9"/>
  <c r="C17" s="1"/>
  <c r="C11"/>
  <c r="C16"/>
  <c r="C18" s="1"/>
  <c r="C19"/>
  <c r="C20" s="1"/>
  <c r="C22"/>
  <c r="H13"/>
  <c r="D9"/>
  <c r="E9"/>
  <c r="E17" s="1"/>
  <c r="F9"/>
  <c r="H9"/>
  <c r="H17" s="1"/>
  <c r="I9"/>
  <c r="I17" s="1"/>
  <c r="B9"/>
  <c r="B17" s="1"/>
  <c r="I22"/>
  <c r="I19"/>
  <c r="I20" s="1"/>
  <c r="I16"/>
  <c r="I11"/>
  <c r="I8"/>
  <c r="I12" s="1"/>
  <c r="I13" s="1"/>
  <c r="I6"/>
  <c r="D6"/>
  <c r="E6"/>
  <c r="F6"/>
  <c r="H6"/>
  <c r="B6"/>
  <c r="D8"/>
  <c r="D12" s="1"/>
  <c r="D13" s="1"/>
  <c r="E8"/>
  <c r="E12" s="1"/>
  <c r="E13" s="1"/>
  <c r="F8"/>
  <c r="F12" s="1"/>
  <c r="F13" s="1"/>
  <c r="H8"/>
  <c r="H12" s="1"/>
  <c r="B8"/>
  <c r="B12" s="1"/>
  <c r="B13" s="1"/>
  <c r="D11"/>
  <c r="E11"/>
  <c r="F11"/>
  <c r="H11"/>
  <c r="B11"/>
  <c r="D19"/>
  <c r="D20" s="1"/>
  <c r="E19"/>
  <c r="E20" s="1"/>
  <c r="F19"/>
  <c r="F20" s="1"/>
  <c r="H19"/>
  <c r="H20" s="1"/>
  <c r="B22"/>
  <c r="D22"/>
  <c r="E22"/>
  <c r="F22"/>
  <c r="H22"/>
  <c r="D16"/>
  <c r="D18" s="1"/>
  <c r="E16"/>
  <c r="E18" s="1"/>
  <c r="F16"/>
  <c r="F18" s="1"/>
  <c r="H16"/>
  <c r="H18" s="1"/>
  <c r="B16"/>
  <c r="F57" i="1"/>
  <c r="G57" s="1"/>
  <c r="M26" i="2"/>
  <c r="P25"/>
  <c r="I18" i="5" l="1"/>
  <c r="B18"/>
  <c r="C24"/>
  <c r="C25" s="1"/>
  <c r="I23"/>
  <c r="I24" s="1"/>
  <c r="I25" s="1"/>
  <c r="F23"/>
  <c r="F24" s="1"/>
  <c r="F25" s="1"/>
  <c r="D23"/>
  <c r="B23"/>
  <c r="B24" s="1"/>
  <c r="B25" s="1"/>
  <c r="H23"/>
  <c r="H24" s="1"/>
  <c r="H25" s="1"/>
  <c r="E23"/>
  <c r="B20"/>
  <c r="J22"/>
  <c r="K22" s="1"/>
  <c r="C28" s="1"/>
  <c r="D24"/>
  <c r="D25" s="1"/>
  <c r="E24"/>
  <c r="E25" s="1"/>
  <c r="J25" l="1"/>
  <c r="J23"/>
  <c r="K23" s="1"/>
  <c r="J24"/>
  <c r="K24" l="1"/>
  <c r="L25" s="1"/>
  <c r="E19" i="1" l="1"/>
  <c r="G19" s="1"/>
  <c r="E17"/>
  <c r="E15"/>
  <c r="E14"/>
  <c r="E13"/>
  <c r="E12"/>
  <c r="C19" i="2"/>
  <c r="D19"/>
  <c r="E19"/>
  <c r="F19"/>
  <c r="G19"/>
  <c r="H19"/>
  <c r="I19"/>
  <c r="J19"/>
  <c r="K19"/>
  <c r="L19"/>
  <c r="M19"/>
  <c r="N19"/>
  <c r="C20"/>
  <c r="D20"/>
  <c r="E20"/>
  <c r="F20"/>
  <c r="G20"/>
  <c r="H20"/>
  <c r="I20"/>
  <c r="J20"/>
  <c r="K20"/>
  <c r="L20"/>
  <c r="M20"/>
  <c r="N20"/>
  <c r="B19"/>
  <c r="B20"/>
  <c r="B18"/>
  <c r="B16"/>
  <c r="C15"/>
  <c r="D15"/>
  <c r="E15"/>
  <c r="F15"/>
  <c r="G15"/>
  <c r="H15"/>
  <c r="I15"/>
  <c r="J15"/>
  <c r="K15"/>
  <c r="L15"/>
  <c r="M15"/>
  <c r="N15"/>
  <c r="B15"/>
  <c r="C14"/>
  <c r="D14"/>
  <c r="E14"/>
  <c r="F14"/>
  <c r="G14"/>
  <c r="H14"/>
  <c r="I14"/>
  <c r="J14"/>
  <c r="K14"/>
  <c r="L14"/>
  <c r="M14"/>
  <c r="N14"/>
  <c r="B14"/>
  <c r="D13"/>
  <c r="E13"/>
  <c r="F13"/>
  <c r="G13"/>
  <c r="H13"/>
  <c r="I13"/>
  <c r="J13"/>
  <c r="K13"/>
  <c r="L13"/>
  <c r="M13"/>
  <c r="N13"/>
  <c r="B13"/>
  <c r="C13"/>
  <c r="N11"/>
  <c r="N12"/>
  <c r="E11"/>
  <c r="F11"/>
  <c r="G11"/>
  <c r="H11"/>
  <c r="I11"/>
  <c r="J11"/>
  <c r="K11"/>
  <c r="L11"/>
  <c r="M11"/>
  <c r="D11"/>
  <c r="D12"/>
  <c r="C12"/>
  <c r="C11"/>
  <c r="C9"/>
  <c r="B12"/>
  <c r="B11"/>
  <c r="C36"/>
  <c r="D36"/>
  <c r="E36"/>
  <c r="F36"/>
  <c r="B36"/>
  <c r="C31"/>
  <c r="D31"/>
  <c r="E31"/>
  <c r="F31"/>
  <c r="B31"/>
  <c r="C27"/>
  <c r="D27" s="1"/>
  <c r="E27" s="1"/>
  <c r="F27" s="1"/>
  <c r="F37" l="1"/>
  <c r="H37" s="1"/>
  <c r="E9" i="1" l="1"/>
  <c r="B32" i="2"/>
  <c r="B28"/>
  <c r="M12" l="1"/>
  <c r="M16" l="1"/>
  <c r="M18" s="1"/>
  <c r="O6" l="1"/>
  <c r="G48" i="1" l="1"/>
  <c r="G25"/>
  <c r="O23" i="2"/>
  <c r="O24"/>
  <c r="O25"/>
  <c r="O22"/>
  <c r="N16"/>
  <c r="G16"/>
  <c r="L12"/>
  <c r="E16" l="1"/>
  <c r="I16"/>
  <c r="I18" s="1"/>
  <c r="N18"/>
  <c r="L16"/>
  <c r="L18" s="1"/>
  <c r="C16"/>
  <c r="C18" s="1"/>
  <c r="H16"/>
  <c r="H18" s="1"/>
  <c r="F16"/>
  <c r="F18" s="1"/>
  <c r="D16"/>
  <c r="D18" s="1"/>
  <c r="K16"/>
  <c r="K18" s="1"/>
  <c r="G18"/>
  <c r="E18"/>
  <c r="J16"/>
  <c r="J18" s="1"/>
  <c r="F32" l="1"/>
  <c r="F28"/>
  <c r="E28"/>
  <c r="E32"/>
  <c r="D32"/>
  <c r="D28"/>
  <c r="E10" i="1"/>
  <c r="G10" s="1"/>
  <c r="C32" i="2"/>
  <c r="C28"/>
  <c r="G72" i="1"/>
  <c r="G71"/>
  <c r="G69"/>
  <c r="G68"/>
  <c r="G67"/>
  <c r="G44"/>
  <c r="G64"/>
  <c r="G42"/>
  <c r="G39"/>
  <c r="G35"/>
  <c r="G41"/>
  <c r="E38"/>
  <c r="G38" s="1"/>
  <c r="E37"/>
  <c r="G37" s="1"/>
  <c r="G34"/>
  <c r="G65"/>
  <c r="G63"/>
  <c r="G61"/>
  <c r="G60"/>
  <c r="G58"/>
  <c r="G54"/>
  <c r="G53"/>
  <c r="G52"/>
  <c r="G51"/>
  <c r="G49"/>
  <c r="G47"/>
  <c r="H66" l="1"/>
  <c r="I66" s="1"/>
  <c r="H70"/>
  <c r="I70" s="1"/>
  <c r="H44"/>
  <c r="I43" s="1"/>
  <c r="H46"/>
  <c r="G33"/>
  <c r="H32" s="1"/>
  <c r="H55"/>
  <c r="H36"/>
  <c r="H40"/>
  <c r="H62"/>
  <c r="I62" s="1"/>
  <c r="I45" l="1"/>
  <c r="I31"/>
  <c r="G30"/>
  <c r="G29"/>
  <c r="G28"/>
  <c r="G24"/>
  <c r="G15"/>
  <c r="G14"/>
  <c r="G13"/>
  <c r="G12"/>
  <c r="G9"/>
  <c r="G17"/>
  <c r="H7" s="1"/>
  <c r="L23" i="5" s="1"/>
  <c r="M23" s="1"/>
  <c r="O32" i="2"/>
  <c r="O33" s="1"/>
  <c r="J12"/>
  <c r="I12"/>
  <c r="H12"/>
  <c r="G12"/>
  <c r="F12"/>
  <c r="K12"/>
  <c r="E12"/>
  <c r="H20" i="1" l="1"/>
  <c r="H27"/>
  <c r="G76"/>
  <c r="I6" l="1"/>
  <c r="H76"/>
  <c r="O76" l="1"/>
  <c r="I76"/>
  <c r="J76" s="1"/>
  <c r="J70" l="1"/>
  <c r="J66"/>
  <c r="J31"/>
  <c r="J43"/>
  <c r="J45"/>
  <c r="J62"/>
  <c r="J6"/>
  <c r="G79" l="1"/>
  <c r="J79" s="1"/>
  <c r="G80"/>
  <c r="G78"/>
  <c r="G82" s="1"/>
  <c r="B28" i="5" l="1"/>
  <c r="D28" s="1"/>
  <c r="E28" s="1"/>
  <c r="J80" i="1"/>
  <c r="G83"/>
  <c r="G84" s="1"/>
  <c r="G81"/>
  <c r="J78"/>
  <c r="M9" l="1"/>
  <c r="M76" s="1"/>
  <c r="H29" i="6" l="1"/>
  <c r="I38" s="1"/>
  <c r="J38" s="1"/>
  <c r="H36" l="1"/>
</calcChain>
</file>

<file path=xl/comments1.xml><?xml version="1.0" encoding="utf-8"?>
<comments xmlns="http://schemas.openxmlformats.org/spreadsheetml/2006/main">
  <authors>
    <author>GRET-SKY</author>
  </authors>
  <commentList>
    <comment ref="M41" authorId="0">
      <text>
        <r>
          <rPr>
            <b/>
            <sz val="8"/>
            <color indexed="81"/>
            <rFont val="Tahoma"/>
            <family val="2"/>
          </rPr>
          <t>GRET-SKY:</t>
        </r>
        <r>
          <rPr>
            <sz val="8"/>
            <color indexed="81"/>
            <rFont val="Tahoma"/>
            <family val="2"/>
          </rPr>
          <t xml:space="preserve">
1 GA in March-April = workshop</t>
        </r>
      </text>
    </comment>
    <comment ref="O67" authorId="0">
      <text>
        <r>
          <rPr>
            <b/>
            <sz val="8"/>
            <color indexed="81"/>
            <rFont val="Tahoma"/>
            <family val="2"/>
          </rPr>
          <t>GRET-SKY:</t>
        </r>
        <r>
          <rPr>
            <sz val="8"/>
            <color indexed="81"/>
            <rFont val="Tahoma"/>
            <family val="2"/>
          </rPr>
          <t xml:space="preserve">
Subsidy for TKC, 5KP, SCE</t>
        </r>
      </text>
    </comment>
    <comment ref="O68" authorId="0">
      <text>
        <r>
          <rPr>
            <b/>
            <sz val="8"/>
            <color indexed="81"/>
            <rFont val="Tahoma"/>
            <family val="2"/>
          </rPr>
          <t>GRET-SKY:</t>
        </r>
        <r>
          <rPr>
            <sz val="8"/>
            <color indexed="81"/>
            <rFont val="Tahoma"/>
            <family val="2"/>
          </rPr>
          <t xml:space="preserve">
Budget for SCN improvement?</t>
        </r>
      </text>
    </comment>
    <comment ref="O69" authorId="0">
      <text>
        <r>
          <rPr>
            <b/>
            <sz val="8"/>
            <color indexed="81"/>
            <rFont val="Tahoma"/>
            <family val="2"/>
          </rPr>
          <t>GRET-SKY:</t>
        </r>
        <r>
          <rPr>
            <sz val="8"/>
            <color indexed="81"/>
            <rFont val="Tahoma"/>
            <family val="2"/>
          </rPr>
          <t xml:space="preserve">
Sujet à déterminer, ex. conseil pour le budget communal, comment gérer les fonds NCDD?</t>
        </r>
      </text>
    </comment>
    <comment ref="M72" authorId="0">
      <text>
        <r>
          <rPr>
            <b/>
            <sz val="8"/>
            <color indexed="81"/>
            <rFont val="Tahoma"/>
            <family val="2"/>
          </rPr>
          <t>GRET-SKY:</t>
        </r>
        <r>
          <rPr>
            <sz val="8"/>
            <color indexed="81"/>
            <rFont val="Tahoma"/>
            <family val="2"/>
          </rPr>
          <t xml:space="preserve">
Proposer une étude au CDRI?</t>
        </r>
      </text>
    </comment>
  </commentList>
</comments>
</file>

<file path=xl/sharedStrings.xml><?xml version="1.0" encoding="utf-8"?>
<sst xmlns="http://schemas.openxmlformats.org/spreadsheetml/2006/main" count="320" uniqueCount="205">
  <si>
    <t>Code</t>
  </si>
  <si>
    <t>Description</t>
  </si>
  <si>
    <t>Human Resource costs</t>
  </si>
  <si>
    <t>ISC Staff salaries, bonus, indemnity and insurance</t>
  </si>
  <si>
    <t>Level 1 Experts (over 600$)</t>
  </si>
  <si>
    <t>Level 2 Manager- engineer (300 to 600$)</t>
  </si>
  <si>
    <t>Kanhnha</t>
  </si>
  <si>
    <t xml:space="preserve">Hydraulic engineer </t>
  </si>
  <si>
    <t>Poly</t>
  </si>
  <si>
    <t>Rural engineer</t>
  </si>
  <si>
    <t>Salpisak</t>
  </si>
  <si>
    <t>Agriculture trainer</t>
  </si>
  <si>
    <t>Sarath</t>
  </si>
  <si>
    <t>Level 3 Field staff, technicians (100 to 300$)</t>
  </si>
  <si>
    <t>External HR, part time staff fee, allowances and insurance</t>
  </si>
  <si>
    <t>External permanent staff</t>
  </si>
  <si>
    <t>Sophak</t>
  </si>
  <si>
    <t>Short term / part time contracts</t>
  </si>
  <si>
    <t>Sophat</t>
  </si>
  <si>
    <t>Student internship</t>
  </si>
  <si>
    <t>Perdiem, travel costs and training for ISC staff</t>
  </si>
  <si>
    <t>Travel costs with public transport</t>
  </si>
  <si>
    <t>Training costs</t>
  </si>
  <si>
    <t>ISC governance</t>
  </si>
  <si>
    <t>Management Board</t>
  </si>
  <si>
    <t>Allowances for MB members</t>
  </si>
  <si>
    <t>Perdiem and travel costs for MB members</t>
  </si>
  <si>
    <t>Meeting costs</t>
  </si>
  <si>
    <t>Coordination / advisory committee</t>
  </si>
  <si>
    <t>Allowances for CC members</t>
  </si>
  <si>
    <t>Perdiem and travel costs for CC members</t>
  </si>
  <si>
    <t>General assembly</t>
  </si>
  <si>
    <t>Perdiem and travel costs for GA members</t>
  </si>
  <si>
    <t>Equipment</t>
  </si>
  <si>
    <t>Miscellaneous equipments</t>
  </si>
  <si>
    <t>Running costs</t>
  </si>
  <si>
    <t>Office running costs</t>
  </si>
  <si>
    <t>Office maintenance, electricity, water</t>
  </si>
  <si>
    <t>Communications, téléphone &amp; internet</t>
  </si>
  <si>
    <t>Staff phone cards allowance</t>
  </si>
  <si>
    <t>Consumables, office supplies</t>
  </si>
  <si>
    <t>Bank costs and miscellaneous</t>
  </si>
  <si>
    <t>Vehicule costs</t>
  </si>
  <si>
    <t>Motorbikes</t>
  </si>
  <si>
    <t>Staff motorbike allowances</t>
  </si>
  <si>
    <t>ISC motorbikes gasoline and maintenance</t>
  </si>
  <si>
    <t>Cars</t>
  </si>
  <si>
    <t>Car maintenance and spareparts</t>
  </si>
  <si>
    <t>Diesel for car</t>
  </si>
  <si>
    <t>ISC operations and services costs</t>
  </si>
  <si>
    <t>Exchange visits between FWUC</t>
  </si>
  <si>
    <t>Farmer &amp; Water Net meetings and exchange visits</t>
  </si>
  <si>
    <t>Direct subsidies to FWUC budget</t>
  </si>
  <si>
    <t>Infrastructure construction and maintenance costs</t>
  </si>
  <si>
    <t xml:space="preserve">Consultancy services for FWUC </t>
  </si>
  <si>
    <t>(including Pdowram perdiem)</t>
  </si>
  <si>
    <t>Studies and Publications</t>
  </si>
  <si>
    <t xml:space="preserve">Workshop </t>
  </si>
  <si>
    <t>Research and Publication</t>
  </si>
  <si>
    <t>Consultancy service for ISC</t>
  </si>
  <si>
    <t>Other expenses</t>
  </si>
  <si>
    <t>Unit</t>
  </si>
  <si>
    <t>Unit price</t>
  </si>
  <si>
    <t>Quantity</t>
  </si>
  <si>
    <t>Amount</t>
  </si>
  <si>
    <t>Sub-total</t>
  </si>
  <si>
    <t>Month</t>
  </si>
  <si>
    <t>Sokkhim</t>
  </si>
  <si>
    <t>Saveth</t>
  </si>
  <si>
    <t>Ren</t>
  </si>
  <si>
    <t>Bunthoeun</t>
  </si>
  <si>
    <t>Saron</t>
  </si>
  <si>
    <t>Nbre of month</t>
  </si>
  <si>
    <t>Salary for 12 months</t>
  </si>
  <si>
    <t>KNY bonus</t>
  </si>
  <si>
    <t>End of the year bonus</t>
  </si>
  <si>
    <t>End of contract 5% on all basic salaries</t>
  </si>
  <si>
    <t>Yearly insurance cost</t>
  </si>
  <si>
    <t>Average monthly cost USD</t>
  </si>
  <si>
    <t>Average monthly cost Euros</t>
  </si>
  <si>
    <t>Internet and other communication costs</t>
  </si>
  <si>
    <t>Meetings</t>
  </si>
  <si>
    <t>Meeting</t>
  </si>
  <si>
    <t>Exchange visit</t>
  </si>
  <si>
    <t>FWUC</t>
  </si>
  <si>
    <t>Consultancy</t>
  </si>
  <si>
    <t>Investment fund for FWUC</t>
  </si>
  <si>
    <t>Staff</t>
  </si>
  <si>
    <t>FWUC service costs: materials, consumables, perdiem for farmers</t>
  </si>
  <si>
    <t>Workshop</t>
  </si>
  <si>
    <t>Publication</t>
  </si>
  <si>
    <t>Grand total</t>
  </si>
  <si>
    <t>A</t>
  </si>
  <si>
    <t>B</t>
  </si>
  <si>
    <t>C</t>
  </si>
  <si>
    <t>Gross salary at recruitment</t>
  </si>
  <si>
    <t>Exc. rate</t>
  </si>
  <si>
    <t>Total year 2011</t>
  </si>
  <si>
    <t>Telephone allowance</t>
  </si>
  <si>
    <t>Own motorbike use</t>
  </si>
  <si>
    <t>Motorbike maintenance and spareparts</t>
  </si>
  <si>
    <t>Gasoline for motorbike</t>
  </si>
  <si>
    <t>Futur expected salary increase</t>
  </si>
  <si>
    <t>ISC budget for 2011</t>
  </si>
  <si>
    <t>Other part time contracts</t>
  </si>
  <si>
    <t>Financial Service Manager &amp; Administrative officer</t>
  </si>
  <si>
    <t>Office rental Kg Thom</t>
  </si>
  <si>
    <t>$US</t>
  </si>
  <si>
    <t>Budget code</t>
  </si>
  <si>
    <t>Office services</t>
  </si>
  <si>
    <t>Office rent</t>
  </si>
  <si>
    <t>Total</t>
  </si>
  <si>
    <t>Perdiem (meal, accomodation)</t>
  </si>
  <si>
    <t>Other funding</t>
  </si>
  <si>
    <t>%</t>
  </si>
  <si>
    <t>Account designation</t>
  </si>
  <si>
    <t>Expenditures forecast per donor</t>
  </si>
  <si>
    <t>Soroth</t>
  </si>
  <si>
    <t>Daly cost (15 days per month)</t>
  </si>
  <si>
    <t>Coût de vente au réel</t>
  </si>
  <si>
    <t>Coût de vente margé (100%)</t>
  </si>
  <si>
    <t>Coût margé mensuel</t>
  </si>
  <si>
    <t>Coût de vente subsidié</t>
  </si>
  <si>
    <t>ISC director</t>
  </si>
  <si>
    <t>ISC technical assistant</t>
  </si>
  <si>
    <t>X</t>
  </si>
  <si>
    <t>Salary in Jan 2012</t>
  </si>
  <si>
    <t>Salary costs from January - December 2012</t>
  </si>
  <si>
    <t>Administrative assistant</t>
  </si>
  <si>
    <t>New facilitators and technicians</t>
  </si>
  <si>
    <t>Et Many</t>
  </si>
  <si>
    <t>Experienced facilitators and technicians</t>
  </si>
  <si>
    <t>Salary increase in 2012</t>
  </si>
  <si>
    <t>Salary after probation</t>
  </si>
  <si>
    <t>Sokkhim, Saveth, Ren, Bunthoeun, Saron, Soroth</t>
  </si>
  <si>
    <t xml:space="preserve">Advisor </t>
  </si>
  <si>
    <t>Office rental &amp; services in PP</t>
  </si>
  <si>
    <t>Expert</t>
  </si>
  <si>
    <t>Manager</t>
  </si>
  <si>
    <t>Engineer</t>
  </si>
  <si>
    <t>Real average monthly cost</t>
  </si>
  <si>
    <t>Exp. facilitator</t>
  </si>
  <si>
    <t>New facilitator</t>
  </si>
  <si>
    <t>Daily selling price</t>
  </si>
  <si>
    <t>Average nb of days sold per month</t>
  </si>
  <si>
    <t>Number of staff</t>
  </si>
  <si>
    <t>Monthly selling price</t>
  </si>
  <si>
    <t>Value per day</t>
  </si>
  <si>
    <t>Average nb of days sold per year</t>
  </si>
  <si>
    <t>Monthly income per staff</t>
  </si>
  <si>
    <t>Income</t>
  </si>
  <si>
    <t>Level of profit on selling price</t>
  </si>
  <si>
    <t>Percentage of work on external service [outside ISC general management]</t>
  </si>
  <si>
    <t>Admin assistant</t>
  </si>
  <si>
    <t>Real daily cost</t>
  </si>
  <si>
    <t>Real daily costs for external service</t>
  </si>
  <si>
    <t>Monthly cost for external services</t>
  </si>
  <si>
    <t>Monthly income per category</t>
  </si>
  <si>
    <t>Monthly real costs per category</t>
  </si>
  <si>
    <t>Monthly benefit per category</t>
  </si>
  <si>
    <t>Staff categories</t>
  </si>
  <si>
    <t>Yearly</t>
  </si>
  <si>
    <t>Budget</t>
  </si>
  <si>
    <t>Balance</t>
  </si>
  <si>
    <t>TA</t>
  </si>
  <si>
    <t>Number of days included in monthly selling price</t>
  </si>
  <si>
    <t>Monthly benefit per staff</t>
  </si>
  <si>
    <t>Yearly benefit per category</t>
  </si>
  <si>
    <t>Direct costs on operation</t>
  </si>
  <si>
    <t>ISC yearly budget (indirect costs on operation)</t>
  </si>
  <si>
    <t>Technical assistant</t>
  </si>
  <si>
    <t>Min. nber of days for using monthly selling price</t>
  </si>
  <si>
    <t>UNDP SGP</t>
  </si>
  <si>
    <t>Service budget calculation</t>
  </si>
  <si>
    <t>Indirect costs on operation</t>
  </si>
  <si>
    <t>Human resources</t>
  </si>
  <si>
    <t>Experienced facilitator / technician</t>
  </si>
  <si>
    <t>Junior facilitator / technician</t>
  </si>
  <si>
    <t>Item</t>
  </si>
  <si>
    <t>Qty</t>
  </si>
  <si>
    <t>Nb. of staff</t>
  </si>
  <si>
    <t>Day</t>
  </si>
  <si>
    <t>month</t>
  </si>
  <si>
    <t>meeting</t>
  </si>
  <si>
    <t>Administration cost</t>
  </si>
  <si>
    <t>ISC HR</t>
  </si>
  <si>
    <t>External Expertise</t>
  </si>
  <si>
    <t>Travel</t>
  </si>
  <si>
    <t>Vehicules costs</t>
  </si>
  <si>
    <t>Communication costs</t>
  </si>
  <si>
    <t>Operation costs</t>
  </si>
  <si>
    <t>Consumables</t>
  </si>
  <si>
    <t>Workshop / meetings</t>
  </si>
  <si>
    <t>Staff DSA</t>
  </si>
  <si>
    <t>Participants DSA and travel costs</t>
  </si>
  <si>
    <t>Investement funds</t>
  </si>
  <si>
    <t>ISC Governance</t>
  </si>
  <si>
    <t>Studies / Publications</t>
  </si>
  <si>
    <t>ISC staff price</t>
  </si>
  <si>
    <t>Donor</t>
  </si>
  <si>
    <t>Period of funding / duration</t>
  </si>
  <si>
    <t>Approval</t>
  </si>
  <si>
    <t>Motorbike allowance</t>
  </si>
  <si>
    <t>Maximum nber of days possible to sell per month</t>
  </si>
  <si>
    <t>50% ISC indirect (A) - 50% project direct (C)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</si>
</sst>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/>
    <xf numFmtId="0" fontId="5" fillId="0" borderId="1" xfId="0" applyFont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7" fillId="4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4" borderId="1" xfId="0" applyFont="1" applyFill="1" applyBorder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4" borderId="1" xfId="0" applyFill="1" applyBorder="1"/>
    <xf numFmtId="0" fontId="2" fillId="0" borderId="1" xfId="0" applyFont="1" applyFill="1" applyBorder="1"/>
    <xf numFmtId="0" fontId="6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0" fillId="5" borderId="1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164" fontId="0" fillId="0" borderId="0" xfId="1" applyNumberFormat="1" applyFont="1"/>
    <xf numFmtId="165" fontId="0" fillId="0" borderId="0" xfId="1" applyNumberFormat="1" applyFont="1"/>
    <xf numFmtId="9" fontId="0" fillId="0" borderId="0" xfId="2" applyFont="1"/>
    <xf numFmtId="0" fontId="8" fillId="7" borderId="0" xfId="0" applyFont="1" applyFill="1"/>
    <xf numFmtId="164" fontId="8" fillId="7" borderId="0" xfId="1" applyNumberFormat="1" applyFont="1" applyFill="1"/>
    <xf numFmtId="164" fontId="8" fillId="0" borderId="0" xfId="0" applyNumberFormat="1" applyFont="1"/>
    <xf numFmtId="0" fontId="8" fillId="0" borderId="0" xfId="0" applyFont="1"/>
    <xf numFmtId="0" fontId="0" fillId="8" borderId="0" xfId="0" applyFill="1"/>
    <xf numFmtId="164" fontId="0" fillId="8" borderId="0" xfId="1" applyNumberFormat="1" applyFont="1" applyFill="1"/>
    <xf numFmtId="164" fontId="0" fillId="0" borderId="0" xfId="0" applyNumberFormat="1"/>
    <xf numFmtId="164" fontId="10" fillId="0" borderId="0" xfId="1" applyNumberFormat="1" applyFont="1"/>
    <xf numFmtId="166" fontId="0" fillId="0" borderId="0" xfId="0" applyNumberFormat="1"/>
    <xf numFmtId="0" fontId="0" fillId="0" borderId="0" xfId="0" applyFill="1"/>
    <xf numFmtId="9" fontId="2" fillId="2" borderId="1" xfId="2" applyFont="1" applyFill="1" applyBorder="1"/>
    <xf numFmtId="9" fontId="2" fillId="0" borderId="1" xfId="2" applyFont="1" applyFill="1" applyBorder="1"/>
    <xf numFmtId="9" fontId="2" fillId="2" borderId="1" xfId="2" applyFont="1" applyFill="1" applyBorder="1" applyAlignment="1">
      <alignment vertical="center"/>
    </xf>
    <xf numFmtId="165" fontId="2" fillId="2" borderId="1" xfId="1" applyNumberFormat="1" applyFont="1" applyFill="1" applyBorder="1"/>
    <xf numFmtId="165" fontId="2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/>
    <xf numFmtId="164" fontId="2" fillId="0" borderId="1" xfId="1" applyNumberFormat="1" applyFont="1" applyFill="1" applyBorder="1"/>
    <xf numFmtId="164" fontId="2" fillId="2" borderId="1" xfId="1" applyNumberFormat="1" applyFont="1" applyFill="1" applyBorder="1" applyAlignment="1">
      <alignment vertical="center"/>
    </xf>
    <xf numFmtId="164" fontId="1" fillId="0" borderId="1" xfId="1" applyNumberFormat="1" applyFont="1" applyBorder="1"/>
    <xf numFmtId="165" fontId="1" fillId="0" borderId="1" xfId="1" applyNumberFormat="1" applyFont="1" applyBorder="1"/>
    <xf numFmtId="164" fontId="1" fillId="2" borderId="1" xfId="1" applyNumberFormat="1" applyFont="1" applyFill="1" applyBorder="1"/>
    <xf numFmtId="9" fontId="1" fillId="0" borderId="1" xfId="2" applyFont="1" applyBorder="1"/>
    <xf numFmtId="0" fontId="0" fillId="0" borderId="1" xfId="0" applyFont="1" applyBorder="1"/>
    <xf numFmtId="0" fontId="0" fillId="0" borderId="1" xfId="0" applyFont="1" applyFill="1" applyBorder="1"/>
    <xf numFmtId="164" fontId="1" fillId="0" borderId="1" xfId="1" applyNumberFormat="1" applyFont="1" applyFill="1" applyBorder="1"/>
    <xf numFmtId="165" fontId="1" fillId="0" borderId="1" xfId="1" applyNumberFormat="1" applyFont="1" applyFill="1" applyBorder="1"/>
    <xf numFmtId="0" fontId="0" fillId="0" borderId="0" xfId="0" applyFont="1"/>
    <xf numFmtId="0" fontId="0" fillId="3" borderId="1" xfId="0" applyFont="1" applyFill="1" applyBorder="1"/>
    <xf numFmtId="0" fontId="0" fillId="5" borderId="1" xfId="0" applyFont="1" applyFill="1" applyBorder="1"/>
    <xf numFmtId="0" fontId="0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6" fillId="4" borderId="1" xfId="0" applyFont="1" applyFill="1" applyBorder="1"/>
    <xf numFmtId="0" fontId="0" fillId="2" borderId="1" xfId="0" applyFont="1" applyFill="1" applyBorder="1"/>
    <xf numFmtId="0" fontId="0" fillId="4" borderId="1" xfId="0" applyFont="1" applyFill="1" applyBorder="1"/>
    <xf numFmtId="0" fontId="0" fillId="2" borderId="1" xfId="0" applyFont="1" applyFill="1" applyBorder="1" applyAlignment="1">
      <alignment vertical="center"/>
    </xf>
    <xf numFmtId="164" fontId="1" fillId="3" borderId="1" xfId="1" applyNumberFormat="1" applyFont="1" applyFill="1" applyBorder="1"/>
    <xf numFmtId="165" fontId="1" fillId="3" borderId="1" xfId="1" applyNumberFormat="1" applyFont="1" applyFill="1" applyBorder="1"/>
    <xf numFmtId="9" fontId="1" fillId="3" borderId="1" xfId="2" applyFont="1" applyFill="1" applyBorder="1"/>
    <xf numFmtId="164" fontId="1" fillId="5" borderId="1" xfId="1" applyNumberFormat="1" applyFont="1" applyFill="1" applyBorder="1"/>
    <xf numFmtId="165" fontId="1" fillId="5" borderId="1" xfId="1" applyNumberFormat="1" applyFont="1" applyFill="1" applyBorder="1"/>
    <xf numFmtId="9" fontId="1" fillId="5" borderId="1" xfId="2" applyFont="1" applyFill="1" applyBorder="1"/>
    <xf numFmtId="164" fontId="1" fillId="0" borderId="1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9" fontId="1" fillId="0" borderId="1" xfId="2" applyFont="1" applyFill="1" applyBorder="1" applyAlignment="1">
      <alignment vertical="center"/>
    </xf>
    <xf numFmtId="164" fontId="1" fillId="5" borderId="1" xfId="1" applyNumberFormat="1" applyFont="1" applyFill="1" applyBorder="1" applyAlignment="1">
      <alignment vertical="center"/>
    </xf>
    <xf numFmtId="165" fontId="1" fillId="5" borderId="1" xfId="1" applyNumberFormat="1" applyFont="1" applyFill="1" applyBorder="1" applyAlignment="1">
      <alignment vertical="center"/>
    </xf>
    <xf numFmtId="9" fontId="1" fillId="5" borderId="1" xfId="2" applyFont="1" applyFill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9" fontId="1" fillId="0" borderId="1" xfId="2" applyFont="1" applyBorder="1" applyAlignment="1">
      <alignment vertical="center"/>
    </xf>
    <xf numFmtId="164" fontId="1" fillId="4" borderId="1" xfId="1" applyNumberFormat="1" applyFont="1" applyFill="1" applyBorder="1" applyAlignment="1">
      <alignment vertical="center"/>
    </xf>
    <xf numFmtId="165" fontId="1" fillId="4" borderId="1" xfId="1" applyNumberFormat="1" applyFont="1" applyFill="1" applyBorder="1" applyAlignment="1">
      <alignment vertical="center"/>
    </xf>
    <xf numFmtId="9" fontId="1" fillId="4" borderId="1" xfId="2" applyFont="1" applyFill="1" applyBorder="1" applyAlignment="1">
      <alignment vertical="center"/>
    </xf>
    <xf numFmtId="164" fontId="6" fillId="4" borderId="1" xfId="1" applyNumberFormat="1" applyFont="1" applyFill="1" applyBorder="1"/>
    <xf numFmtId="165" fontId="6" fillId="4" borderId="1" xfId="1" applyNumberFormat="1" applyFont="1" applyFill="1" applyBorder="1"/>
    <xf numFmtId="9" fontId="6" fillId="4" borderId="1" xfId="2" applyFont="1" applyFill="1" applyBorder="1"/>
    <xf numFmtId="165" fontId="1" fillId="2" borderId="1" xfId="1" applyNumberFormat="1" applyFont="1" applyFill="1" applyBorder="1"/>
    <xf numFmtId="164" fontId="1" fillId="4" borderId="1" xfId="1" applyNumberFormat="1" applyFont="1" applyFill="1" applyBorder="1"/>
    <xf numFmtId="165" fontId="1" fillId="4" borderId="1" xfId="1" applyNumberFormat="1" applyFont="1" applyFill="1" applyBorder="1"/>
    <xf numFmtId="9" fontId="1" fillId="4" borderId="1" xfId="2" applyFont="1" applyFill="1" applyBorder="1"/>
    <xf numFmtId="9" fontId="1" fillId="0" borderId="1" xfId="2" applyFont="1" applyFill="1" applyBorder="1"/>
    <xf numFmtId="164" fontId="1" fillId="2" borderId="1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164" fontId="1" fillId="0" borderId="0" xfId="1" applyNumberFormat="1" applyFont="1"/>
    <xf numFmtId="165" fontId="1" fillId="0" borderId="0" xfId="1" applyNumberFormat="1" applyFont="1"/>
    <xf numFmtId="9" fontId="1" fillId="0" borderId="0" xfId="2" applyFont="1"/>
    <xf numFmtId="0" fontId="12" fillId="9" borderId="0" xfId="0" applyFont="1" applyFill="1"/>
    <xf numFmtId="164" fontId="12" fillId="9" borderId="0" xfId="1" applyNumberFormat="1" applyFont="1" applyFill="1"/>
    <xf numFmtId="165" fontId="12" fillId="9" borderId="0" xfId="1" applyNumberFormat="1" applyFont="1" applyFill="1"/>
    <xf numFmtId="9" fontId="11" fillId="9" borderId="1" xfId="2" applyFont="1" applyFill="1" applyBorder="1"/>
    <xf numFmtId="0" fontId="0" fillId="0" borderId="0" xfId="0" applyAlignment="1">
      <alignment vertical="center"/>
    </xf>
    <xf numFmtId="164" fontId="0" fillId="0" borderId="0" xfId="1" applyNumberFormat="1" applyFont="1" applyFill="1"/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9" borderId="0" xfId="0" applyFont="1" applyFill="1" applyAlignment="1">
      <alignment vertical="center"/>
    </xf>
    <xf numFmtId="43" fontId="0" fillId="0" borderId="0" xfId="1" applyFont="1"/>
    <xf numFmtId="9" fontId="2" fillId="2" borderId="2" xfId="2" applyFont="1" applyFill="1" applyBorder="1"/>
    <xf numFmtId="9" fontId="1" fillId="3" borderId="2" xfId="2" applyFont="1" applyFill="1" applyBorder="1"/>
    <xf numFmtId="9" fontId="1" fillId="5" borderId="2" xfId="2" applyFont="1" applyFill="1" applyBorder="1"/>
    <xf numFmtId="9" fontId="0" fillId="0" borderId="2" xfId="2" applyFont="1" applyFill="1" applyBorder="1" applyAlignment="1">
      <alignment vertical="center"/>
    </xf>
    <xf numFmtId="9" fontId="1" fillId="5" borderId="2" xfId="2" applyFont="1" applyFill="1" applyBorder="1" applyAlignment="1">
      <alignment vertical="center"/>
    </xf>
    <xf numFmtId="9" fontId="0" fillId="0" borderId="2" xfId="2" applyFont="1" applyBorder="1" applyAlignment="1">
      <alignment vertical="center"/>
    </xf>
    <xf numFmtId="9" fontId="1" fillId="4" borderId="2" xfId="2" applyFont="1" applyFill="1" applyBorder="1" applyAlignment="1">
      <alignment vertical="center"/>
    </xf>
    <xf numFmtId="9" fontId="6" fillId="4" borderId="2" xfId="2" applyFont="1" applyFill="1" applyBorder="1"/>
    <xf numFmtId="9" fontId="0" fillId="0" borderId="2" xfId="2" applyFont="1" applyBorder="1"/>
    <xf numFmtId="9" fontId="1" fillId="4" borderId="2" xfId="2" applyFont="1" applyFill="1" applyBorder="1"/>
    <xf numFmtId="9" fontId="0" fillId="0" borderId="2" xfId="2" applyFont="1" applyFill="1" applyBorder="1"/>
    <xf numFmtId="9" fontId="2" fillId="2" borderId="2" xfId="2" applyFont="1" applyFill="1" applyBorder="1" applyAlignment="1">
      <alignment vertical="center"/>
    </xf>
    <xf numFmtId="9" fontId="0" fillId="5" borderId="2" xfId="2" applyFont="1" applyFill="1" applyBorder="1"/>
    <xf numFmtId="9" fontId="1" fillId="0" borderId="2" xfId="2" applyFont="1" applyFill="1" applyBorder="1"/>
    <xf numFmtId="9" fontId="11" fillId="9" borderId="2" xfId="2" applyFont="1" applyFill="1" applyBorder="1"/>
    <xf numFmtId="164" fontId="0" fillId="0" borderId="1" xfId="1" applyNumberFormat="1" applyFont="1" applyFill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0" fillId="5" borderId="1" xfId="1" applyNumberFormat="1" applyFont="1" applyFill="1" applyBorder="1"/>
    <xf numFmtId="164" fontId="11" fillId="9" borderId="1" xfId="1" applyNumberFormat="1" applyFont="1" applyFill="1" applyBorder="1"/>
    <xf numFmtId="0" fontId="13" fillId="0" borderId="0" xfId="0" applyFont="1" applyAlignment="1">
      <alignment vertical="center"/>
    </xf>
    <xf numFmtId="164" fontId="0" fillId="6" borderId="1" xfId="1" applyNumberFormat="1" applyFont="1" applyFill="1" applyBorder="1" applyAlignment="1">
      <alignment vertical="center"/>
    </xf>
    <xf numFmtId="0" fontId="0" fillId="10" borderId="0" xfId="0" applyFill="1"/>
    <xf numFmtId="0" fontId="0" fillId="10" borderId="0" xfId="0" applyFont="1" applyFill="1"/>
    <xf numFmtId="164" fontId="0" fillId="10" borderId="0" xfId="1" applyNumberFormat="1" applyFont="1" applyFill="1"/>
    <xf numFmtId="165" fontId="0" fillId="10" borderId="0" xfId="1" applyNumberFormat="1" applyFont="1" applyFill="1"/>
    <xf numFmtId="9" fontId="0" fillId="10" borderId="0" xfId="2" applyFont="1" applyFill="1"/>
    <xf numFmtId="0" fontId="0" fillId="0" borderId="0" xfId="0" applyAlignment="1">
      <alignment horizontal="center"/>
    </xf>
    <xf numFmtId="164" fontId="11" fillId="9" borderId="1" xfId="1" applyNumberFormat="1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9" fontId="11" fillId="9" borderId="1" xfId="2" applyFont="1" applyFill="1" applyBorder="1" applyAlignment="1">
      <alignment horizontal="center" vertical="center"/>
    </xf>
    <xf numFmtId="9" fontId="11" fillId="9" borderId="2" xfId="2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11" borderId="1" xfId="1" applyNumberFormat="1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 wrapText="1"/>
    </xf>
    <xf numFmtId="164" fontId="17" fillId="11" borderId="1" xfId="1" applyNumberFormat="1" applyFont="1" applyFill="1" applyBorder="1" applyAlignment="1">
      <alignment horizontal="center" vertical="center" wrapText="1"/>
    </xf>
    <xf numFmtId="164" fontId="11" fillId="13" borderId="1" xfId="1" applyNumberFormat="1" applyFont="1" applyFill="1" applyBorder="1" applyAlignment="1">
      <alignment horizontal="center" vertical="center"/>
    </xf>
    <xf numFmtId="164" fontId="11" fillId="13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164" fontId="0" fillId="0" borderId="1" xfId="1" quotePrefix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1" fillId="4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" fillId="4" borderId="1" xfId="1" applyNumberFormat="1" applyFont="1" applyFill="1" applyBorder="1" applyAlignment="1">
      <alignment horizontal="center"/>
    </xf>
    <xf numFmtId="164" fontId="0" fillId="0" borderId="1" xfId="1" quotePrefix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0" fillId="0" borderId="1" xfId="1" quotePrefix="1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0" fontId="0" fillId="10" borderId="0" xfId="0" applyFill="1" applyAlignment="1">
      <alignment horizontal="center" vertical="center"/>
    </xf>
    <xf numFmtId="164" fontId="11" fillId="9" borderId="0" xfId="1" applyNumberFormat="1" applyFont="1" applyFill="1"/>
    <xf numFmtId="0" fontId="11" fillId="9" borderId="0" xfId="0" applyFont="1" applyFill="1" applyBorder="1" applyAlignment="1">
      <alignment vertical="center"/>
    </xf>
    <xf numFmtId="0" fontId="18" fillId="0" borderId="0" xfId="0" applyFont="1"/>
    <xf numFmtId="0" fontId="0" fillId="6" borderId="0" xfId="0" applyFill="1"/>
    <xf numFmtId="43" fontId="0" fillId="0" borderId="0" xfId="0" applyNumberFormat="1"/>
    <xf numFmtId="0" fontId="2" fillId="6" borderId="0" xfId="0" applyFont="1" applyFill="1" applyAlignment="1">
      <alignment horizontal="center"/>
    </xf>
    <xf numFmtId="165" fontId="0" fillId="0" borderId="0" xfId="1" applyNumberFormat="1" applyFont="1" applyFill="1"/>
    <xf numFmtId="165" fontId="9" fillId="0" borderId="0" xfId="1" applyNumberFormat="1" applyFont="1" applyFill="1"/>
    <xf numFmtId="164" fontId="9" fillId="0" borderId="0" xfId="1" applyNumberFormat="1" applyFont="1" applyFill="1"/>
    <xf numFmtId="0" fontId="8" fillId="6" borderId="0" xfId="0" applyFont="1" applyFill="1" applyAlignment="1">
      <alignment horizontal="center"/>
    </xf>
    <xf numFmtId="9" fontId="0" fillId="0" borderId="0" xfId="0" applyNumberFormat="1"/>
    <xf numFmtId="0" fontId="5" fillId="14" borderId="0" xfId="0" applyFont="1" applyFill="1"/>
    <xf numFmtId="0" fontId="14" fillId="0" borderId="0" xfId="0" applyFont="1"/>
    <xf numFmtId="0" fontId="14" fillId="0" borderId="0" xfId="0" applyFont="1" applyAlignment="1">
      <alignment wrapText="1"/>
    </xf>
    <xf numFmtId="164" fontId="0" fillId="0" borderId="0" xfId="1" applyNumberFormat="1" applyFont="1" applyAlignment="1">
      <alignment vertical="center"/>
    </xf>
    <xf numFmtId="9" fontId="14" fillId="0" borderId="0" xfId="2" applyFont="1" applyAlignment="1">
      <alignment vertical="center"/>
    </xf>
    <xf numFmtId="0" fontId="5" fillId="14" borderId="0" xfId="0" applyFont="1" applyFill="1" applyAlignment="1">
      <alignment vertical="center"/>
    </xf>
    <xf numFmtId="164" fontId="5" fillId="14" borderId="0" xfId="1" applyNumberFormat="1" applyFont="1" applyFill="1" applyAlignment="1">
      <alignment vertical="center"/>
    </xf>
    <xf numFmtId="0" fontId="0" fillId="15" borderId="0" xfId="0" applyFill="1"/>
    <xf numFmtId="164" fontId="0" fillId="15" borderId="0" xfId="1" applyNumberFormat="1" applyFont="1" applyFill="1" applyAlignment="1">
      <alignment vertical="center"/>
    </xf>
    <xf numFmtId="0" fontId="11" fillId="12" borderId="0" xfId="0" applyFont="1" applyFill="1"/>
    <xf numFmtId="164" fontId="11" fillId="12" borderId="0" xfId="1" applyNumberFormat="1" applyFont="1" applyFill="1" applyAlignment="1">
      <alignment vertical="center"/>
    </xf>
    <xf numFmtId="0" fontId="11" fillId="13" borderId="0" xfId="0" applyFont="1" applyFill="1"/>
    <xf numFmtId="164" fontId="11" fillId="13" borderId="0" xfId="1" applyNumberFormat="1" applyFont="1" applyFill="1" applyAlignment="1">
      <alignment vertical="center"/>
    </xf>
    <xf numFmtId="0" fontId="11" fillId="16" borderId="0" xfId="0" applyFont="1" applyFill="1" applyAlignment="1">
      <alignment horizontal="left"/>
    </xf>
    <xf numFmtId="0" fontId="11" fillId="16" borderId="0" xfId="0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4" fillId="6" borderId="0" xfId="1" applyNumberFormat="1" applyFont="1" applyFill="1" applyAlignment="1">
      <alignment vertical="center"/>
    </xf>
    <xf numFmtId="164" fontId="5" fillId="14" borderId="0" xfId="0" applyNumberFormat="1" applyFont="1" applyFill="1" applyAlignment="1">
      <alignment vertical="center"/>
    </xf>
    <xf numFmtId="0" fontId="11" fillId="17" borderId="0" xfId="0" applyFont="1" applyFill="1"/>
    <xf numFmtId="164" fontId="11" fillId="17" borderId="0" xfId="1" applyNumberFormat="1" applyFont="1" applyFill="1" applyAlignment="1">
      <alignment vertical="center"/>
    </xf>
    <xf numFmtId="0" fontId="0" fillId="3" borderId="0" xfId="0" applyFill="1"/>
    <xf numFmtId="164" fontId="0" fillId="3" borderId="0" xfId="1" applyNumberFormat="1" applyFont="1" applyFill="1" applyAlignment="1">
      <alignment vertical="center"/>
    </xf>
    <xf numFmtId="164" fontId="14" fillId="0" borderId="0" xfId="1" applyNumberFormat="1" applyFont="1" applyAlignment="1">
      <alignment vertical="center"/>
    </xf>
    <xf numFmtId="0" fontId="12" fillId="19" borderId="0" xfId="0" applyFont="1" applyFill="1"/>
    <xf numFmtId="0" fontId="12" fillId="18" borderId="0" xfId="0" applyFont="1" applyFill="1"/>
    <xf numFmtId="0" fontId="12" fillId="0" borderId="0" xfId="0" applyFont="1" applyFill="1"/>
    <xf numFmtId="0" fontId="12" fillId="20" borderId="0" xfId="0" applyFont="1" applyFill="1"/>
    <xf numFmtId="0" fontId="0" fillId="20" borderId="0" xfId="0" applyFill="1"/>
    <xf numFmtId="0" fontId="19" fillId="0" borderId="0" xfId="0" applyFont="1"/>
    <xf numFmtId="0" fontId="20" fillId="0" borderId="0" xfId="0" applyFont="1"/>
    <xf numFmtId="0" fontId="21" fillId="6" borderId="0" xfId="0" applyFont="1" applyFill="1"/>
    <xf numFmtId="0" fontId="6" fillId="0" borderId="0" xfId="0" applyFont="1" applyFill="1"/>
    <xf numFmtId="0" fontId="12" fillId="21" borderId="0" xfId="0" applyFont="1" applyFill="1"/>
    <xf numFmtId="0" fontId="12" fillId="22" borderId="0" xfId="0" applyFont="1" applyFill="1"/>
    <xf numFmtId="0" fontId="6" fillId="20" borderId="0" xfId="0" applyFont="1" applyFill="1"/>
    <xf numFmtId="0" fontId="5" fillId="23" borderId="0" xfId="0" applyFont="1" applyFill="1"/>
    <xf numFmtId="0" fontId="5" fillId="23" borderId="0" xfId="0" applyFont="1" applyFill="1" applyAlignment="1">
      <alignment vertical="center"/>
    </xf>
    <xf numFmtId="165" fontId="11" fillId="9" borderId="5" xfId="1" applyNumberFormat="1" applyFont="1" applyFill="1" applyBorder="1" applyAlignment="1">
      <alignment horizontal="center" vertical="center"/>
    </xf>
    <xf numFmtId="165" fontId="11" fillId="9" borderId="7" xfId="1" applyNumberFormat="1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164" fontId="11" fillId="9" borderId="5" xfId="1" applyNumberFormat="1" applyFont="1" applyFill="1" applyBorder="1" applyAlignment="1">
      <alignment horizontal="center" vertical="center"/>
    </xf>
    <xf numFmtId="164" fontId="11" fillId="9" borderId="7" xfId="1" applyNumberFormat="1" applyFont="1" applyFill="1" applyBorder="1" applyAlignment="1">
      <alignment horizontal="center" vertical="center"/>
    </xf>
    <xf numFmtId="9" fontId="11" fillId="9" borderId="5" xfId="2" applyFont="1" applyFill="1" applyBorder="1" applyAlignment="1">
      <alignment horizontal="center" vertical="center"/>
    </xf>
    <xf numFmtId="9" fontId="11" fillId="9" borderId="7" xfId="2" applyFont="1" applyFill="1" applyBorder="1" applyAlignment="1">
      <alignment horizontal="center" vertical="center"/>
    </xf>
    <xf numFmtId="164" fontId="11" fillId="9" borderId="2" xfId="1" applyNumberFormat="1" applyFont="1" applyFill="1" applyBorder="1" applyAlignment="1">
      <alignment horizontal="center" vertical="center" wrapText="1"/>
    </xf>
    <xf numFmtId="164" fontId="11" fillId="9" borderId="4" xfId="1" applyNumberFormat="1" applyFont="1" applyFill="1" applyBorder="1" applyAlignment="1">
      <alignment horizontal="center" vertical="center" wrapText="1"/>
    </xf>
    <xf numFmtId="164" fontId="11" fillId="9" borderId="3" xfId="1" applyNumberFormat="1" applyFont="1" applyFill="1" applyBorder="1" applyAlignment="1">
      <alignment horizontal="center" vertical="center" wrapText="1"/>
    </xf>
    <xf numFmtId="164" fontId="11" fillId="2" borderId="2" xfId="1" applyNumberFormat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 wrapText="1"/>
    </xf>
    <xf numFmtId="164" fontId="11" fillId="11" borderId="2" xfId="1" applyNumberFormat="1" applyFont="1" applyFill="1" applyBorder="1" applyAlignment="1">
      <alignment horizontal="center" vertical="center" wrapText="1"/>
    </xf>
    <xf numFmtId="164" fontId="11" fillId="11" borderId="3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FF00"/>
      <color rgb="FFFF9933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RET-SKY/My%20Documents/Antoine/Projet%20Cambodge/UNDP%20SGP/SGP%20proposal%20budget%20110428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9">
          <cell r="G19">
            <v>3000</v>
          </cell>
        </row>
        <row r="31">
          <cell r="G31">
            <v>3000</v>
          </cell>
        </row>
        <row r="39">
          <cell r="G39">
            <v>1080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4"/>
  <sheetViews>
    <sheetView tabSelected="1"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5" sqref="A5"/>
      <selection pane="bottomRight" activeCell="B2" sqref="B2"/>
    </sheetView>
  </sheetViews>
  <sheetFormatPr defaultRowHeight="15"/>
  <cols>
    <col min="1" max="1" width="7.28515625" style="101" customWidth="1"/>
    <col min="2" max="2" width="46" customWidth="1"/>
    <col min="3" max="3" width="23.85546875" customWidth="1"/>
    <col min="4" max="4" width="14.140625" style="57" customWidth="1"/>
    <col min="5" max="5" width="11.28515625" style="28" customWidth="1"/>
    <col min="6" max="6" width="11.28515625" style="29" customWidth="1"/>
    <col min="7" max="9" width="11.28515625" style="28" customWidth="1"/>
    <col min="10" max="10" width="6.85546875" style="30" customWidth="1"/>
    <col min="11" max="11" width="3.28515625" style="30" customWidth="1"/>
    <col min="12" max="12" width="11" style="28" customWidth="1"/>
    <col min="13" max="13" width="11.140625" style="28" customWidth="1"/>
    <col min="14" max="14" width="11.5703125" style="28" customWidth="1"/>
    <col min="15" max="16" width="11.140625" style="28" customWidth="1"/>
    <col min="17" max="22" width="9.42578125" style="28" customWidth="1"/>
  </cols>
  <sheetData>
    <row r="1" spans="1:22" ht="21">
      <c r="A1" s="129" t="s">
        <v>103</v>
      </c>
    </row>
    <row r="2" spans="1:22" ht="18.75" customHeight="1">
      <c r="L2" s="166"/>
      <c r="M2" s="107"/>
    </row>
    <row r="3" spans="1:22" s="101" customFormat="1" ht="21" customHeight="1">
      <c r="A3" s="218" t="s">
        <v>0</v>
      </c>
      <c r="B3" s="218" t="s">
        <v>115</v>
      </c>
      <c r="C3" s="218" t="s">
        <v>1</v>
      </c>
      <c r="D3" s="218" t="s">
        <v>61</v>
      </c>
      <c r="E3" s="221" t="s">
        <v>62</v>
      </c>
      <c r="F3" s="216" t="s">
        <v>63</v>
      </c>
      <c r="G3" s="221" t="s">
        <v>64</v>
      </c>
      <c r="H3" s="221" t="s">
        <v>65</v>
      </c>
      <c r="I3" s="221" t="s">
        <v>65</v>
      </c>
      <c r="J3" s="223"/>
      <c r="K3" s="140"/>
      <c r="L3" s="225" t="s">
        <v>116</v>
      </c>
      <c r="M3" s="226"/>
      <c r="N3" s="226"/>
      <c r="O3" s="226"/>
      <c r="P3" s="227"/>
    </row>
    <row r="4" spans="1:22" s="101" customFormat="1" ht="16.5" customHeight="1">
      <c r="A4" s="219"/>
      <c r="B4" s="219"/>
      <c r="C4" s="219"/>
      <c r="D4" s="219"/>
      <c r="E4" s="222"/>
      <c r="F4" s="217"/>
      <c r="G4" s="222"/>
      <c r="H4" s="222"/>
      <c r="I4" s="222"/>
      <c r="J4" s="224"/>
      <c r="K4" s="140"/>
      <c r="L4" s="228" t="s">
        <v>172</v>
      </c>
      <c r="M4" s="229"/>
      <c r="N4" s="230"/>
      <c r="O4" s="231"/>
      <c r="P4" s="146" t="s">
        <v>113</v>
      </c>
    </row>
    <row r="5" spans="1:22" s="101" customFormat="1" ht="18.75" customHeight="1">
      <c r="A5" s="220"/>
      <c r="B5" s="220"/>
      <c r="C5" s="220"/>
      <c r="D5" s="220"/>
      <c r="E5" s="137" t="s">
        <v>107</v>
      </c>
      <c r="F5" s="138"/>
      <c r="G5" s="137" t="s">
        <v>107</v>
      </c>
      <c r="H5" s="137" t="s">
        <v>107</v>
      </c>
      <c r="I5" s="137" t="s">
        <v>107</v>
      </c>
      <c r="J5" s="139" t="s">
        <v>114</v>
      </c>
      <c r="K5" s="140"/>
      <c r="L5" s="143" t="s">
        <v>108</v>
      </c>
      <c r="M5" s="141" t="s">
        <v>107</v>
      </c>
      <c r="N5" s="144" t="s">
        <v>108</v>
      </c>
      <c r="O5" s="142" t="s">
        <v>107</v>
      </c>
      <c r="P5" s="145"/>
    </row>
    <row r="6" spans="1:22">
      <c r="A6" s="12">
        <v>61000</v>
      </c>
      <c r="B6" s="1" t="s">
        <v>2</v>
      </c>
      <c r="C6" s="2"/>
      <c r="D6" s="1"/>
      <c r="E6" s="46"/>
      <c r="F6" s="44"/>
      <c r="G6" s="46"/>
      <c r="H6" s="46"/>
      <c r="I6" s="46">
        <f>SUM(H7,H20,H27)</f>
        <v>78571.3125</v>
      </c>
      <c r="J6" s="41">
        <f>I6/$I$76</f>
        <v>0.59763085197768906</v>
      </c>
      <c r="K6" s="108"/>
      <c r="L6" s="147"/>
      <c r="M6" s="46"/>
      <c r="N6" s="159"/>
      <c r="O6" s="46"/>
      <c r="P6" s="46"/>
      <c r="Q6"/>
      <c r="R6"/>
      <c r="S6"/>
      <c r="T6"/>
      <c r="U6"/>
      <c r="V6"/>
    </row>
    <row r="7" spans="1:22">
      <c r="A7" s="104">
        <v>61100</v>
      </c>
      <c r="B7" s="3" t="s">
        <v>3</v>
      </c>
      <c r="C7" s="4"/>
      <c r="D7" s="58"/>
      <c r="E7" s="66"/>
      <c r="F7" s="67"/>
      <c r="G7" s="66"/>
      <c r="H7" s="66">
        <f>SUM(G8:G19)</f>
        <v>66811.3125</v>
      </c>
      <c r="I7" s="66"/>
      <c r="J7" s="68"/>
      <c r="K7" s="109"/>
      <c r="L7" s="148"/>
      <c r="M7" s="66"/>
      <c r="N7" s="163"/>
      <c r="O7" s="66"/>
      <c r="P7" s="66"/>
      <c r="Q7"/>
      <c r="R7"/>
      <c r="S7"/>
      <c r="T7"/>
      <c r="U7"/>
      <c r="V7"/>
    </row>
    <row r="8" spans="1:22">
      <c r="A8" s="25">
        <v>61110</v>
      </c>
      <c r="B8" s="21" t="s">
        <v>4</v>
      </c>
      <c r="C8" s="22"/>
      <c r="D8" s="59"/>
      <c r="E8" s="69"/>
      <c r="F8" s="70"/>
      <c r="G8" s="69"/>
      <c r="H8" s="69"/>
      <c r="I8" s="69"/>
      <c r="J8" s="71"/>
      <c r="K8" s="110"/>
      <c r="L8" s="149"/>
      <c r="M8" s="69"/>
      <c r="N8" s="151"/>
      <c r="O8" s="69"/>
      <c r="P8" s="69"/>
      <c r="Q8"/>
      <c r="R8"/>
      <c r="S8"/>
      <c r="T8"/>
      <c r="U8"/>
      <c r="V8"/>
    </row>
    <row r="9" spans="1:22">
      <c r="A9" s="7">
        <v>61111</v>
      </c>
      <c r="B9" s="6" t="s">
        <v>123</v>
      </c>
      <c r="C9" s="6" t="s">
        <v>16</v>
      </c>
      <c r="D9" s="15" t="s">
        <v>66</v>
      </c>
      <c r="E9" s="72">
        <f>'Salary costs'!B19</f>
        <v>1391.1458333333333</v>
      </c>
      <c r="F9" s="73">
        <v>12</v>
      </c>
      <c r="G9" s="72">
        <f>E9*F9</f>
        <v>16693.75</v>
      </c>
      <c r="H9" s="72"/>
      <c r="I9" s="72"/>
      <c r="J9" s="74"/>
      <c r="K9" s="111" t="s">
        <v>92</v>
      </c>
      <c r="L9" s="150"/>
      <c r="M9" s="123">
        <f>SUM([1]Sheet1!$G$19,[1]Sheet1!$G$31,[1]Sheet1!$G$39)</f>
        <v>7080</v>
      </c>
      <c r="N9" s="150"/>
      <c r="O9" s="123"/>
      <c r="P9" s="123"/>
      <c r="Q9"/>
      <c r="R9"/>
      <c r="S9"/>
      <c r="T9"/>
      <c r="U9"/>
      <c r="V9"/>
    </row>
    <row r="10" spans="1:22">
      <c r="A10" s="7">
        <v>61112</v>
      </c>
      <c r="B10" s="6" t="s">
        <v>124</v>
      </c>
      <c r="C10" s="6"/>
      <c r="D10" s="6" t="s">
        <v>66</v>
      </c>
      <c r="E10" s="72">
        <f>'Salary costs'!C19</f>
        <v>737.08333333333337</v>
      </c>
      <c r="F10" s="73">
        <v>12</v>
      </c>
      <c r="G10" s="72">
        <f>E10*F10</f>
        <v>8845</v>
      </c>
      <c r="H10" s="72"/>
      <c r="I10" s="72"/>
      <c r="J10" s="74"/>
      <c r="K10" s="111" t="s">
        <v>92</v>
      </c>
      <c r="L10" s="150"/>
      <c r="M10" s="123"/>
      <c r="N10" s="150"/>
      <c r="O10" s="123"/>
      <c r="P10" s="123"/>
      <c r="Q10"/>
      <c r="R10"/>
      <c r="S10"/>
      <c r="T10"/>
      <c r="U10"/>
      <c r="V10"/>
    </row>
    <row r="11" spans="1:22">
      <c r="A11" s="23">
        <v>61120</v>
      </c>
      <c r="B11" s="23" t="s">
        <v>5</v>
      </c>
      <c r="C11" s="23"/>
      <c r="D11" s="25"/>
      <c r="E11" s="75"/>
      <c r="F11" s="76"/>
      <c r="G11" s="75"/>
      <c r="H11" s="75"/>
      <c r="I11" s="75"/>
      <c r="J11" s="77"/>
      <c r="K11" s="112"/>
      <c r="L11" s="151"/>
      <c r="M11" s="75"/>
      <c r="N11" s="151"/>
      <c r="O11" s="75"/>
      <c r="P11" s="75"/>
      <c r="Q11"/>
      <c r="R11"/>
      <c r="S11"/>
      <c r="T11"/>
      <c r="U11"/>
      <c r="V11"/>
    </row>
    <row r="12" spans="1:22">
      <c r="A12" s="7">
        <v>61121</v>
      </c>
      <c r="B12" s="7" t="s">
        <v>105</v>
      </c>
      <c r="C12" s="7" t="s">
        <v>6</v>
      </c>
      <c r="D12" s="60" t="s">
        <v>66</v>
      </c>
      <c r="E12" s="78">
        <f>'Salary costs'!E19</f>
        <v>540.20833333333337</v>
      </c>
      <c r="F12" s="79">
        <v>12</v>
      </c>
      <c r="G12" s="78">
        <f t="shared" ref="G12:G15" si="0">E12*F12</f>
        <v>6482.5</v>
      </c>
      <c r="H12" s="78"/>
      <c r="I12" s="78"/>
      <c r="J12" s="80"/>
      <c r="K12" s="113" t="s">
        <v>92</v>
      </c>
      <c r="L12" s="152"/>
      <c r="M12" s="124"/>
      <c r="N12" s="153"/>
      <c r="O12" s="123"/>
      <c r="P12" s="124"/>
      <c r="Q12"/>
      <c r="R12"/>
      <c r="S12"/>
      <c r="T12"/>
      <c r="U12"/>
      <c r="V12"/>
    </row>
    <row r="13" spans="1:22">
      <c r="A13" s="7">
        <v>61122</v>
      </c>
      <c r="B13" s="7" t="s">
        <v>7</v>
      </c>
      <c r="C13" s="7" t="s">
        <v>8</v>
      </c>
      <c r="D13" s="60" t="s">
        <v>66</v>
      </c>
      <c r="E13" s="78">
        <f>'Salary costs'!D19</f>
        <v>427.55208333333331</v>
      </c>
      <c r="F13" s="79">
        <v>12</v>
      </c>
      <c r="G13" s="78">
        <f t="shared" si="0"/>
        <v>5130.625</v>
      </c>
      <c r="H13" s="78"/>
      <c r="I13" s="78"/>
      <c r="J13" s="80"/>
      <c r="K13" s="113" t="s">
        <v>92</v>
      </c>
      <c r="L13" s="152"/>
      <c r="M13" s="124"/>
      <c r="N13" s="150"/>
      <c r="O13" s="123"/>
      <c r="P13" s="124"/>
      <c r="Q13"/>
      <c r="R13"/>
      <c r="S13"/>
      <c r="T13"/>
      <c r="U13"/>
      <c r="V13"/>
    </row>
    <row r="14" spans="1:22">
      <c r="A14" s="7">
        <v>61123</v>
      </c>
      <c r="B14" s="7" t="s">
        <v>9</v>
      </c>
      <c r="C14" s="7" t="s">
        <v>10</v>
      </c>
      <c r="D14" s="60" t="s">
        <v>66</v>
      </c>
      <c r="E14" s="78">
        <f>'Salary costs'!L19</f>
        <v>384.02083333333331</v>
      </c>
      <c r="F14" s="79">
        <v>12</v>
      </c>
      <c r="G14" s="78">
        <f t="shared" si="0"/>
        <v>4608.25</v>
      </c>
      <c r="H14" s="78"/>
      <c r="I14" s="78"/>
      <c r="J14" s="80"/>
      <c r="K14" s="113" t="s">
        <v>92</v>
      </c>
      <c r="L14" s="152"/>
      <c r="M14" s="124"/>
      <c r="N14" s="150"/>
      <c r="O14" s="123"/>
      <c r="P14" s="124"/>
      <c r="Q14"/>
      <c r="R14"/>
      <c r="S14"/>
      <c r="T14"/>
      <c r="U14"/>
      <c r="V14"/>
    </row>
    <row r="15" spans="1:22">
      <c r="A15" s="7">
        <v>61124</v>
      </c>
      <c r="B15" s="7" t="s">
        <v>11</v>
      </c>
      <c r="C15" s="7" t="s">
        <v>12</v>
      </c>
      <c r="D15" s="60" t="s">
        <v>66</v>
      </c>
      <c r="E15" s="78">
        <f>'Salary costs'!K19</f>
        <v>302.42708333333331</v>
      </c>
      <c r="F15" s="79">
        <v>12</v>
      </c>
      <c r="G15" s="78">
        <f t="shared" si="0"/>
        <v>3629.125</v>
      </c>
      <c r="H15" s="78"/>
      <c r="I15" s="78"/>
      <c r="J15" s="80"/>
      <c r="K15" s="113" t="s">
        <v>92</v>
      </c>
      <c r="L15" s="152"/>
      <c r="M15" s="123"/>
      <c r="N15" s="153"/>
      <c r="O15" s="123"/>
      <c r="P15" s="124"/>
      <c r="Q15"/>
      <c r="R15"/>
      <c r="S15"/>
      <c r="T15"/>
      <c r="U15"/>
      <c r="V15"/>
    </row>
    <row r="16" spans="1:22">
      <c r="A16" s="23">
        <v>61130</v>
      </c>
      <c r="B16" s="23" t="s">
        <v>13</v>
      </c>
      <c r="C16" s="23"/>
      <c r="D16" s="25"/>
      <c r="E16" s="75"/>
      <c r="F16" s="76"/>
      <c r="G16" s="75"/>
      <c r="H16" s="75"/>
      <c r="I16" s="75"/>
      <c r="J16" s="77"/>
      <c r="K16" s="112"/>
      <c r="L16" s="151"/>
      <c r="M16" s="75"/>
      <c r="N16" s="151"/>
      <c r="O16" s="75"/>
      <c r="P16" s="75"/>
      <c r="Q16"/>
      <c r="R16"/>
      <c r="S16"/>
      <c r="T16"/>
      <c r="U16"/>
      <c r="V16"/>
    </row>
    <row r="17" spans="1:22" ht="30" customHeight="1">
      <c r="A17" s="7">
        <v>61131</v>
      </c>
      <c r="B17" s="7" t="s">
        <v>131</v>
      </c>
      <c r="C17" s="103" t="s">
        <v>134</v>
      </c>
      <c r="D17" s="60" t="s">
        <v>66</v>
      </c>
      <c r="E17" s="78">
        <f>AVERAGE('Salary costs'!F19:J19,'Salary costs'!M19)</f>
        <v>262.76041666666663</v>
      </c>
      <c r="F17" s="79">
        <v>72</v>
      </c>
      <c r="G17" s="78">
        <f t="shared" ref="G17" si="1">E17*F17</f>
        <v>18918.749999999996</v>
      </c>
      <c r="H17" s="78"/>
      <c r="I17" s="78"/>
      <c r="J17" s="80"/>
      <c r="K17" s="113" t="s">
        <v>92</v>
      </c>
      <c r="L17" s="152"/>
      <c r="M17" s="124"/>
      <c r="N17" s="150"/>
      <c r="O17" s="123"/>
      <c r="P17" s="124"/>
      <c r="Q17"/>
      <c r="R17"/>
      <c r="S17"/>
      <c r="T17"/>
      <c r="U17"/>
      <c r="V17"/>
    </row>
    <row r="18" spans="1:22" ht="15" customHeight="1">
      <c r="A18" s="7">
        <v>61132</v>
      </c>
      <c r="B18" s="7" t="s">
        <v>129</v>
      </c>
      <c r="C18" s="103"/>
      <c r="D18" s="60" t="s">
        <v>66</v>
      </c>
      <c r="E18" s="78"/>
      <c r="F18" s="79"/>
      <c r="G18" s="78"/>
      <c r="H18" s="78"/>
      <c r="I18" s="78"/>
      <c r="J18" s="80"/>
      <c r="K18" s="113"/>
      <c r="L18" s="152"/>
      <c r="M18" s="124"/>
      <c r="N18" s="150"/>
      <c r="O18" s="123"/>
      <c r="P18" s="124"/>
      <c r="Q18"/>
      <c r="R18"/>
      <c r="S18"/>
      <c r="T18"/>
      <c r="U18"/>
      <c r="V18"/>
    </row>
    <row r="19" spans="1:22" ht="15" customHeight="1">
      <c r="A19" s="7">
        <v>61133</v>
      </c>
      <c r="B19" s="7" t="s">
        <v>128</v>
      </c>
      <c r="C19" s="103" t="s">
        <v>130</v>
      </c>
      <c r="D19" s="60" t="s">
        <v>66</v>
      </c>
      <c r="E19" s="78">
        <f>'Salary costs'!N19</f>
        <v>208.609375</v>
      </c>
      <c r="F19" s="79">
        <v>12</v>
      </c>
      <c r="G19" s="78">
        <f>E19*F19</f>
        <v>2503.3125</v>
      </c>
      <c r="H19" s="78"/>
      <c r="I19" s="78"/>
      <c r="J19" s="80"/>
      <c r="K19" s="113" t="s">
        <v>92</v>
      </c>
      <c r="L19" s="152"/>
      <c r="M19" s="124"/>
      <c r="N19" s="150"/>
      <c r="O19" s="123"/>
      <c r="P19" s="124"/>
      <c r="Q19"/>
      <c r="R19"/>
      <c r="S19"/>
      <c r="T19"/>
      <c r="U19"/>
      <c r="V19"/>
    </row>
    <row r="20" spans="1:22">
      <c r="A20" s="8">
        <v>61200</v>
      </c>
      <c r="B20" s="8" t="s">
        <v>14</v>
      </c>
      <c r="C20" s="9"/>
      <c r="D20" s="61"/>
      <c r="E20" s="81"/>
      <c r="F20" s="82"/>
      <c r="G20" s="81"/>
      <c r="H20" s="81">
        <f>SUM(G21:G26)</f>
        <v>1800</v>
      </c>
      <c r="I20" s="81"/>
      <c r="J20" s="83"/>
      <c r="K20" s="114"/>
      <c r="L20" s="154"/>
      <c r="M20" s="81"/>
      <c r="N20" s="154"/>
      <c r="O20" s="81"/>
      <c r="P20" s="81"/>
      <c r="Q20"/>
      <c r="R20"/>
      <c r="S20"/>
      <c r="T20"/>
      <c r="U20"/>
      <c r="V20"/>
    </row>
    <row r="21" spans="1:22">
      <c r="A21" s="25">
        <v>61210</v>
      </c>
      <c r="B21" s="23" t="s">
        <v>15</v>
      </c>
      <c r="C21" s="23"/>
      <c r="D21" s="25"/>
      <c r="E21" s="75"/>
      <c r="F21" s="76"/>
      <c r="G21" s="75"/>
      <c r="H21" s="75"/>
      <c r="I21" s="75"/>
      <c r="J21" s="77"/>
      <c r="K21" s="112"/>
      <c r="L21" s="151"/>
      <c r="M21" s="75"/>
      <c r="N21" s="151"/>
      <c r="O21" s="75"/>
      <c r="P21" s="75"/>
      <c r="Q21"/>
      <c r="R21"/>
      <c r="S21"/>
      <c r="T21"/>
      <c r="U21"/>
      <c r="V21"/>
    </row>
    <row r="22" spans="1:22">
      <c r="A22" s="60"/>
      <c r="B22" s="6"/>
      <c r="C22" s="6"/>
      <c r="D22" s="15"/>
      <c r="E22" s="72"/>
      <c r="F22" s="73"/>
      <c r="G22" s="72"/>
      <c r="H22" s="72"/>
      <c r="I22" s="72"/>
      <c r="J22" s="74"/>
      <c r="K22" s="111"/>
      <c r="L22" s="150"/>
      <c r="M22" s="123"/>
      <c r="N22" s="150"/>
      <c r="O22" s="123"/>
      <c r="P22" s="123"/>
      <c r="Q22"/>
      <c r="R22"/>
      <c r="S22"/>
      <c r="T22"/>
      <c r="U22"/>
      <c r="V22"/>
    </row>
    <row r="23" spans="1:22">
      <c r="A23" s="25">
        <v>61220</v>
      </c>
      <c r="B23" s="23" t="s">
        <v>17</v>
      </c>
      <c r="C23" s="23"/>
      <c r="D23" s="25"/>
      <c r="E23" s="75"/>
      <c r="F23" s="76"/>
      <c r="G23" s="75"/>
      <c r="H23" s="75"/>
      <c r="I23" s="75"/>
      <c r="J23" s="77"/>
      <c r="K23" s="112"/>
      <c r="L23" s="151"/>
      <c r="M23" s="75"/>
      <c r="N23" s="151"/>
      <c r="O23" s="75"/>
      <c r="P23" s="75"/>
      <c r="Q23"/>
      <c r="R23"/>
      <c r="S23"/>
      <c r="T23"/>
      <c r="U23"/>
      <c r="V23"/>
    </row>
    <row r="24" spans="1:22">
      <c r="A24" s="60">
        <v>61221</v>
      </c>
      <c r="B24" s="6" t="s">
        <v>135</v>
      </c>
      <c r="C24" s="6" t="s">
        <v>18</v>
      </c>
      <c r="D24" s="15" t="s">
        <v>66</v>
      </c>
      <c r="E24" s="72">
        <v>150</v>
      </c>
      <c r="F24" s="73">
        <v>12</v>
      </c>
      <c r="G24" s="72">
        <f t="shared" ref="G24:G25" si="2">E24*F24</f>
        <v>1800</v>
      </c>
      <c r="H24" s="72"/>
      <c r="I24" s="72"/>
      <c r="J24" s="74"/>
      <c r="K24" s="111" t="s">
        <v>92</v>
      </c>
      <c r="L24" s="150"/>
      <c r="M24" s="123"/>
      <c r="N24" s="150"/>
      <c r="O24" s="123"/>
      <c r="P24" s="123"/>
      <c r="Q24"/>
      <c r="R24"/>
      <c r="S24"/>
      <c r="T24"/>
      <c r="U24"/>
      <c r="V24"/>
    </row>
    <row r="25" spans="1:22">
      <c r="A25" s="60">
        <v>61222</v>
      </c>
      <c r="B25" s="6" t="s">
        <v>104</v>
      </c>
      <c r="C25" s="6"/>
      <c r="D25" s="6" t="s">
        <v>66</v>
      </c>
      <c r="E25" s="72"/>
      <c r="F25" s="73">
        <v>0</v>
      </c>
      <c r="G25" s="72">
        <f t="shared" si="2"/>
        <v>0</v>
      </c>
      <c r="H25" s="72"/>
      <c r="I25" s="72"/>
      <c r="J25" s="74"/>
      <c r="K25" s="111"/>
      <c r="L25" s="150"/>
      <c r="M25" s="123"/>
      <c r="N25" s="150"/>
      <c r="O25" s="123"/>
      <c r="P25" s="123"/>
      <c r="Q25"/>
      <c r="R25"/>
      <c r="S25"/>
      <c r="T25"/>
      <c r="U25"/>
      <c r="V25"/>
    </row>
    <row r="26" spans="1:22">
      <c r="A26" s="25">
        <v>61230</v>
      </c>
      <c r="B26" s="23" t="s">
        <v>19</v>
      </c>
      <c r="C26" s="23"/>
      <c r="D26" s="25"/>
      <c r="E26" s="75"/>
      <c r="F26" s="76"/>
      <c r="G26" s="75"/>
      <c r="H26" s="75"/>
      <c r="I26" s="75"/>
      <c r="J26" s="77"/>
      <c r="K26" s="112"/>
      <c r="L26" s="151"/>
      <c r="M26" s="75"/>
      <c r="N26" s="151"/>
      <c r="O26" s="75"/>
      <c r="P26" s="75"/>
      <c r="Q26"/>
      <c r="R26"/>
      <c r="S26"/>
      <c r="T26"/>
      <c r="U26"/>
      <c r="V26"/>
    </row>
    <row r="27" spans="1:22">
      <c r="A27" s="10">
        <v>61300</v>
      </c>
      <c r="B27" s="10" t="s">
        <v>20</v>
      </c>
      <c r="C27" s="11"/>
      <c r="D27" s="62"/>
      <c r="E27" s="84"/>
      <c r="F27" s="85"/>
      <c r="G27" s="84"/>
      <c r="H27" s="84">
        <f>SUM(G28:G30)</f>
        <v>9960</v>
      </c>
      <c r="I27" s="84"/>
      <c r="J27" s="86"/>
      <c r="K27" s="115"/>
      <c r="L27" s="155"/>
      <c r="M27" s="84"/>
      <c r="N27" s="164"/>
      <c r="O27" s="84"/>
      <c r="P27" s="84"/>
      <c r="Q27"/>
      <c r="R27"/>
      <c r="S27"/>
      <c r="T27"/>
      <c r="U27"/>
      <c r="V27"/>
    </row>
    <row r="28" spans="1:22">
      <c r="A28" s="7">
        <v>61310</v>
      </c>
      <c r="B28" s="6" t="s">
        <v>112</v>
      </c>
      <c r="C28" s="5"/>
      <c r="D28" s="53" t="s">
        <v>66</v>
      </c>
      <c r="E28" s="49">
        <v>600</v>
      </c>
      <c r="F28" s="50">
        <v>12</v>
      </c>
      <c r="G28" s="49">
        <f t="shared" ref="G28:G30" si="3">E28*F28</f>
        <v>7200</v>
      </c>
      <c r="H28" s="49"/>
      <c r="I28" s="49"/>
      <c r="J28" s="52"/>
      <c r="K28" s="116" t="s">
        <v>94</v>
      </c>
      <c r="L28" s="152"/>
      <c r="M28" s="123"/>
      <c r="N28" s="150"/>
      <c r="O28" s="123"/>
      <c r="P28" s="125"/>
      <c r="Q28"/>
      <c r="R28"/>
      <c r="S28"/>
      <c r="T28"/>
      <c r="U28"/>
      <c r="V28"/>
    </row>
    <row r="29" spans="1:22">
      <c r="A29" s="7">
        <v>61320</v>
      </c>
      <c r="B29" s="6" t="s">
        <v>21</v>
      </c>
      <c r="C29" s="5"/>
      <c r="D29" s="53" t="s">
        <v>66</v>
      </c>
      <c r="E29" s="49">
        <v>80</v>
      </c>
      <c r="F29" s="50">
        <v>12</v>
      </c>
      <c r="G29" s="49">
        <f t="shared" si="3"/>
        <v>960</v>
      </c>
      <c r="H29" s="49"/>
      <c r="I29" s="49"/>
      <c r="J29" s="52"/>
      <c r="K29" s="116" t="s">
        <v>92</v>
      </c>
      <c r="L29" s="152"/>
      <c r="M29" s="123"/>
      <c r="N29" s="150"/>
      <c r="O29" s="123"/>
      <c r="P29" s="125"/>
      <c r="Q29"/>
      <c r="R29"/>
      <c r="S29"/>
      <c r="T29"/>
      <c r="U29"/>
      <c r="V29"/>
    </row>
    <row r="30" spans="1:22">
      <c r="A30" s="7">
        <v>61330</v>
      </c>
      <c r="B30" s="6" t="s">
        <v>22</v>
      </c>
      <c r="C30" s="5"/>
      <c r="D30" s="53" t="s">
        <v>87</v>
      </c>
      <c r="E30" s="49">
        <v>150</v>
      </c>
      <c r="F30" s="50">
        <v>12</v>
      </c>
      <c r="G30" s="49">
        <f t="shared" si="3"/>
        <v>1800</v>
      </c>
      <c r="H30" s="49"/>
      <c r="I30" s="49"/>
      <c r="J30" s="52"/>
      <c r="K30" s="116" t="s">
        <v>92</v>
      </c>
      <c r="L30" s="156"/>
      <c r="M30" s="126"/>
      <c r="N30" s="150"/>
      <c r="O30" s="123"/>
      <c r="P30" s="125"/>
      <c r="Q30"/>
      <c r="R30"/>
      <c r="S30"/>
      <c r="T30"/>
      <c r="U30"/>
      <c r="V30"/>
    </row>
    <row r="31" spans="1:22">
      <c r="A31" s="12">
        <v>62000</v>
      </c>
      <c r="B31" s="12" t="s">
        <v>23</v>
      </c>
      <c r="C31" s="13"/>
      <c r="D31" s="63"/>
      <c r="E31" s="51"/>
      <c r="F31" s="87"/>
      <c r="G31" s="51"/>
      <c r="H31" s="51"/>
      <c r="I31" s="46">
        <f>SUM(H32,H36,H40)</f>
        <v>4300</v>
      </c>
      <c r="J31" s="41">
        <f>I31/$I$76</f>
        <v>3.2706754943212422E-2</v>
      </c>
      <c r="K31" s="108"/>
      <c r="L31" s="147"/>
      <c r="M31" s="46"/>
      <c r="N31" s="159"/>
      <c r="O31" s="46"/>
      <c r="P31" s="46"/>
      <c r="Q31"/>
      <c r="R31"/>
      <c r="S31"/>
      <c r="T31"/>
      <c r="U31"/>
      <c r="V31"/>
    </row>
    <row r="32" spans="1:22">
      <c r="A32" s="8">
        <v>62100</v>
      </c>
      <c r="B32" s="8" t="s">
        <v>24</v>
      </c>
      <c r="C32" s="14"/>
      <c r="D32" s="64"/>
      <c r="E32" s="88"/>
      <c r="F32" s="89"/>
      <c r="G32" s="88"/>
      <c r="H32" s="88">
        <f>SUM(G33:G35)</f>
        <v>2100</v>
      </c>
      <c r="I32" s="88"/>
      <c r="J32" s="90"/>
      <c r="K32" s="117"/>
      <c r="L32" s="157"/>
      <c r="M32" s="88"/>
      <c r="N32" s="154"/>
      <c r="O32" s="88"/>
      <c r="P32" s="88"/>
      <c r="Q32"/>
      <c r="R32"/>
      <c r="S32"/>
      <c r="T32"/>
      <c r="U32"/>
      <c r="V32"/>
    </row>
    <row r="33" spans="1:22">
      <c r="A33" s="15">
        <v>62110</v>
      </c>
      <c r="B33" s="15" t="s">
        <v>25</v>
      </c>
      <c r="C33" s="16"/>
      <c r="D33" s="54" t="s">
        <v>82</v>
      </c>
      <c r="E33" s="55">
        <v>405</v>
      </c>
      <c r="F33" s="56">
        <v>4</v>
      </c>
      <c r="G33" s="55">
        <f t="shared" ref="G33:G42" si="4">E33*F33</f>
        <v>1620</v>
      </c>
      <c r="H33" s="55"/>
      <c r="I33" s="55"/>
      <c r="J33" s="91"/>
      <c r="K33" s="118" t="s">
        <v>92</v>
      </c>
      <c r="L33" s="158"/>
      <c r="M33" s="126"/>
      <c r="N33" s="150"/>
      <c r="O33" s="123"/>
      <c r="P33" s="126"/>
      <c r="Q33"/>
      <c r="R33"/>
      <c r="S33"/>
      <c r="T33"/>
      <c r="U33"/>
      <c r="V33"/>
    </row>
    <row r="34" spans="1:22">
      <c r="A34" s="7">
        <v>62120</v>
      </c>
      <c r="B34" s="6" t="s">
        <v>26</v>
      </c>
      <c r="C34" s="5"/>
      <c r="D34" s="53" t="s">
        <v>82</v>
      </c>
      <c r="E34" s="49">
        <v>100</v>
      </c>
      <c r="F34" s="50">
        <v>4</v>
      </c>
      <c r="G34" s="49">
        <f t="shared" si="4"/>
        <v>400</v>
      </c>
      <c r="H34" s="49"/>
      <c r="I34" s="49"/>
      <c r="J34" s="52"/>
      <c r="K34" s="116" t="s">
        <v>92</v>
      </c>
      <c r="L34" s="158"/>
      <c r="M34" s="124"/>
      <c r="N34" s="150"/>
      <c r="O34" s="123"/>
      <c r="P34" s="125"/>
      <c r="Q34"/>
      <c r="R34"/>
      <c r="S34"/>
      <c r="T34"/>
      <c r="U34"/>
      <c r="V34"/>
    </row>
    <row r="35" spans="1:22">
      <c r="A35" s="7">
        <v>62130</v>
      </c>
      <c r="B35" s="6" t="s">
        <v>27</v>
      </c>
      <c r="C35" s="5"/>
      <c r="D35" s="53" t="s">
        <v>82</v>
      </c>
      <c r="E35" s="49">
        <v>20</v>
      </c>
      <c r="F35" s="50">
        <v>4</v>
      </c>
      <c r="G35" s="49">
        <f t="shared" si="4"/>
        <v>80</v>
      </c>
      <c r="H35" s="49"/>
      <c r="I35" s="49"/>
      <c r="J35" s="52"/>
      <c r="K35" s="116" t="s">
        <v>92</v>
      </c>
      <c r="L35" s="158"/>
      <c r="M35" s="125"/>
      <c r="N35" s="153"/>
      <c r="O35" s="123"/>
      <c r="P35" s="125"/>
      <c r="Q35"/>
      <c r="R35"/>
      <c r="S35"/>
      <c r="T35"/>
      <c r="U35"/>
      <c r="V35"/>
    </row>
    <row r="36" spans="1:22">
      <c r="A36" s="8">
        <v>62200</v>
      </c>
      <c r="B36" s="8" t="s">
        <v>28</v>
      </c>
      <c r="C36" s="14"/>
      <c r="D36" s="64"/>
      <c r="E36" s="88"/>
      <c r="F36" s="89"/>
      <c r="G36" s="88"/>
      <c r="H36" s="88">
        <f>SUM(G37:G39)</f>
        <v>600</v>
      </c>
      <c r="I36" s="88"/>
      <c r="J36" s="90"/>
      <c r="K36" s="117"/>
      <c r="L36" s="157"/>
      <c r="M36" s="88"/>
      <c r="N36" s="154"/>
      <c r="O36" s="88"/>
      <c r="P36" s="88"/>
      <c r="Q36"/>
      <c r="R36"/>
      <c r="S36"/>
      <c r="T36"/>
      <c r="U36"/>
      <c r="V36"/>
    </row>
    <row r="37" spans="1:22">
      <c r="A37" s="15">
        <v>62210</v>
      </c>
      <c r="B37" s="6" t="s">
        <v>29</v>
      </c>
      <c r="C37" s="5"/>
      <c r="D37" s="18" t="s">
        <v>82</v>
      </c>
      <c r="E37" s="49">
        <f>10*20</f>
        <v>200</v>
      </c>
      <c r="F37" s="50">
        <v>1</v>
      </c>
      <c r="G37" s="49">
        <f t="shared" si="4"/>
        <v>200</v>
      </c>
      <c r="H37" s="49"/>
      <c r="I37" s="49"/>
      <c r="J37" s="52"/>
      <c r="K37" s="116" t="s">
        <v>92</v>
      </c>
      <c r="L37" s="156"/>
      <c r="M37" s="125"/>
      <c r="N37" s="153"/>
      <c r="O37" s="123"/>
      <c r="P37" s="125"/>
      <c r="Q37"/>
      <c r="R37"/>
      <c r="S37"/>
      <c r="T37"/>
      <c r="U37"/>
      <c r="V37"/>
    </row>
    <row r="38" spans="1:22">
      <c r="A38" s="7">
        <v>62220</v>
      </c>
      <c r="B38" s="6" t="s">
        <v>30</v>
      </c>
      <c r="C38" s="5"/>
      <c r="D38" s="18" t="s">
        <v>82</v>
      </c>
      <c r="E38" s="49">
        <f>15*20</f>
        <v>300</v>
      </c>
      <c r="F38" s="50">
        <v>1</v>
      </c>
      <c r="G38" s="49">
        <f t="shared" si="4"/>
        <v>300</v>
      </c>
      <c r="H38" s="49"/>
      <c r="I38" s="49"/>
      <c r="J38" s="52"/>
      <c r="K38" s="116" t="s">
        <v>92</v>
      </c>
      <c r="L38" s="156"/>
      <c r="M38" s="125"/>
      <c r="N38" s="153"/>
      <c r="O38" s="123"/>
      <c r="P38" s="125"/>
      <c r="Q38"/>
      <c r="R38"/>
      <c r="S38"/>
      <c r="T38"/>
      <c r="U38"/>
      <c r="V38"/>
    </row>
    <row r="39" spans="1:22">
      <c r="A39" s="7">
        <v>62230</v>
      </c>
      <c r="B39" s="6" t="s">
        <v>27</v>
      </c>
      <c r="C39" s="5"/>
      <c r="D39" s="18" t="s">
        <v>82</v>
      </c>
      <c r="E39" s="49">
        <v>100</v>
      </c>
      <c r="F39" s="50">
        <v>1</v>
      </c>
      <c r="G39" s="49">
        <f t="shared" si="4"/>
        <v>100</v>
      </c>
      <c r="H39" s="49"/>
      <c r="I39" s="49"/>
      <c r="J39" s="52"/>
      <c r="K39" s="116" t="s">
        <v>92</v>
      </c>
      <c r="L39" s="156"/>
      <c r="M39" s="125"/>
      <c r="N39" s="153"/>
      <c r="O39" s="123"/>
      <c r="P39" s="125"/>
      <c r="Q39"/>
      <c r="R39"/>
      <c r="S39"/>
      <c r="T39"/>
      <c r="U39"/>
      <c r="V39"/>
    </row>
    <row r="40" spans="1:22">
      <c r="A40" s="8">
        <v>62300</v>
      </c>
      <c r="B40" s="8" t="s">
        <v>31</v>
      </c>
      <c r="C40" s="14"/>
      <c r="D40" s="64"/>
      <c r="E40" s="88"/>
      <c r="F40" s="89"/>
      <c r="G40" s="88"/>
      <c r="H40" s="88">
        <f>SUM(G41:G42)</f>
        <v>1600</v>
      </c>
      <c r="I40" s="88"/>
      <c r="J40" s="90"/>
      <c r="K40" s="117"/>
      <c r="L40" s="157"/>
      <c r="M40" s="88"/>
      <c r="N40" s="154"/>
      <c r="O40" s="88"/>
      <c r="P40" s="88"/>
      <c r="Q40"/>
      <c r="R40"/>
      <c r="S40"/>
      <c r="T40"/>
      <c r="U40"/>
      <c r="V40"/>
    </row>
    <row r="41" spans="1:22">
      <c r="A41" s="7">
        <v>62310</v>
      </c>
      <c r="B41" s="6" t="s">
        <v>32</v>
      </c>
      <c r="C41" s="5"/>
      <c r="D41" s="18" t="s">
        <v>82</v>
      </c>
      <c r="E41" s="49">
        <v>600</v>
      </c>
      <c r="F41" s="50">
        <v>2</v>
      </c>
      <c r="G41" s="49">
        <f t="shared" si="4"/>
        <v>1200</v>
      </c>
      <c r="H41" s="49"/>
      <c r="I41" s="49"/>
      <c r="J41" s="52"/>
      <c r="K41" s="116" t="s">
        <v>92</v>
      </c>
      <c r="L41" s="158"/>
      <c r="M41" s="126"/>
      <c r="N41" s="153"/>
      <c r="O41" s="123"/>
      <c r="P41" s="125"/>
      <c r="Q41"/>
      <c r="R41"/>
      <c r="S41"/>
      <c r="T41"/>
      <c r="U41"/>
      <c r="V41"/>
    </row>
    <row r="42" spans="1:22">
      <c r="A42" s="7">
        <v>62320</v>
      </c>
      <c r="B42" s="6" t="s">
        <v>27</v>
      </c>
      <c r="C42" s="5"/>
      <c r="D42" s="18" t="s">
        <v>82</v>
      </c>
      <c r="E42" s="49">
        <v>200</v>
      </c>
      <c r="F42" s="50">
        <v>2</v>
      </c>
      <c r="G42" s="49">
        <f t="shared" si="4"/>
        <v>400</v>
      </c>
      <c r="H42" s="49"/>
      <c r="I42" s="49"/>
      <c r="J42" s="52"/>
      <c r="K42" s="116" t="s">
        <v>92</v>
      </c>
      <c r="L42" s="158"/>
      <c r="M42" s="126"/>
      <c r="N42" s="153"/>
      <c r="O42" s="123"/>
      <c r="P42" s="125"/>
      <c r="Q42"/>
      <c r="R42"/>
      <c r="S42"/>
      <c r="T42"/>
      <c r="U42"/>
      <c r="V42"/>
    </row>
    <row r="43" spans="1:22">
      <c r="A43" s="12">
        <v>63000</v>
      </c>
      <c r="B43" s="12" t="s">
        <v>33</v>
      </c>
      <c r="C43" s="17"/>
      <c r="D43" s="65"/>
      <c r="E43" s="92"/>
      <c r="F43" s="93"/>
      <c r="G43" s="92"/>
      <c r="H43" s="92"/>
      <c r="I43" s="48">
        <f>H44</f>
        <v>1800</v>
      </c>
      <c r="J43" s="43">
        <f>I43/$I$76</f>
        <v>1.3691199743670316E-2</v>
      </c>
      <c r="K43" s="119"/>
      <c r="L43" s="159"/>
      <c r="M43" s="48"/>
      <c r="N43" s="159"/>
      <c r="O43" s="48"/>
      <c r="P43" s="48"/>
      <c r="Q43"/>
      <c r="R43"/>
      <c r="S43"/>
      <c r="T43"/>
      <c r="U43"/>
      <c r="V43"/>
    </row>
    <row r="44" spans="1:22" s="40" customFormat="1">
      <c r="A44" s="105"/>
      <c r="B44" s="6" t="s">
        <v>34</v>
      </c>
      <c r="C44" s="6"/>
      <c r="D44" s="15" t="s">
        <v>66</v>
      </c>
      <c r="E44" s="72">
        <v>150</v>
      </c>
      <c r="F44" s="73">
        <v>12</v>
      </c>
      <c r="G44" s="72">
        <f t="shared" ref="G44" si="5">E44*F44</f>
        <v>1800</v>
      </c>
      <c r="H44" s="72">
        <f>G44</f>
        <v>1800</v>
      </c>
      <c r="I44" s="72"/>
      <c r="J44" s="74"/>
      <c r="K44" s="111" t="s">
        <v>92</v>
      </c>
      <c r="L44" s="150"/>
      <c r="M44" s="123"/>
      <c r="N44" s="150"/>
      <c r="O44" s="123"/>
      <c r="P44" s="123"/>
    </row>
    <row r="45" spans="1:22">
      <c r="A45" s="12">
        <v>64000</v>
      </c>
      <c r="B45" s="12" t="s">
        <v>35</v>
      </c>
      <c r="C45" s="13"/>
      <c r="D45" s="63"/>
      <c r="E45" s="51"/>
      <c r="F45" s="87"/>
      <c r="G45" s="51"/>
      <c r="H45" s="51"/>
      <c r="I45" s="46">
        <f>H46+H55</f>
        <v>29400</v>
      </c>
      <c r="J45" s="41">
        <f>I45/$I$76</f>
        <v>0.22362292914661516</v>
      </c>
      <c r="K45" s="108"/>
      <c r="L45" s="147"/>
      <c r="M45" s="46"/>
      <c r="N45" s="159"/>
      <c r="O45" s="46"/>
      <c r="P45" s="46"/>
      <c r="Q45"/>
      <c r="R45"/>
      <c r="S45"/>
      <c r="T45"/>
      <c r="U45"/>
      <c r="V45"/>
    </row>
    <row r="46" spans="1:22">
      <c r="A46" s="8">
        <v>64100</v>
      </c>
      <c r="B46" s="8" t="s">
        <v>36</v>
      </c>
      <c r="C46" s="14"/>
      <c r="D46" s="64"/>
      <c r="E46" s="88"/>
      <c r="F46" s="89"/>
      <c r="G46" s="88"/>
      <c r="H46" s="88">
        <f>SUM(G47:G54)</f>
        <v>13800</v>
      </c>
      <c r="I46" s="88"/>
      <c r="J46" s="90"/>
      <c r="K46" s="117"/>
      <c r="L46" s="157"/>
      <c r="M46" s="88"/>
      <c r="N46" s="154"/>
      <c r="O46" s="88"/>
      <c r="P46" s="88"/>
      <c r="Q46"/>
      <c r="R46"/>
      <c r="S46"/>
      <c r="T46"/>
      <c r="U46"/>
      <c r="V46"/>
    </row>
    <row r="47" spans="1:22">
      <c r="A47" s="7">
        <v>64111</v>
      </c>
      <c r="B47" s="7" t="s">
        <v>106</v>
      </c>
      <c r="C47" s="5"/>
      <c r="D47" s="53" t="s">
        <v>66</v>
      </c>
      <c r="E47" s="49">
        <v>300</v>
      </c>
      <c r="F47" s="50">
        <v>12</v>
      </c>
      <c r="G47" s="49">
        <f t="shared" ref="G47:G54" si="6">E47*F47</f>
        <v>3600</v>
      </c>
      <c r="H47" s="49"/>
      <c r="I47" s="49"/>
      <c r="J47" s="52"/>
      <c r="K47" s="116" t="s">
        <v>92</v>
      </c>
      <c r="L47" s="152"/>
      <c r="M47" s="124"/>
      <c r="N47" s="150"/>
      <c r="O47" s="123"/>
      <c r="P47" s="125"/>
      <c r="Q47"/>
      <c r="R47"/>
      <c r="S47"/>
      <c r="T47"/>
      <c r="U47"/>
      <c r="V47"/>
    </row>
    <row r="48" spans="1:22">
      <c r="A48" s="7">
        <v>64112</v>
      </c>
      <c r="B48" s="7" t="s">
        <v>136</v>
      </c>
      <c r="C48" s="5"/>
      <c r="D48" s="53" t="s">
        <v>66</v>
      </c>
      <c r="E48" s="49">
        <v>300</v>
      </c>
      <c r="F48" s="50">
        <v>12</v>
      </c>
      <c r="G48" s="49">
        <f t="shared" ref="G48" si="7">E48*F48</f>
        <v>3600</v>
      </c>
      <c r="H48" s="49"/>
      <c r="I48" s="49"/>
      <c r="J48" s="52"/>
      <c r="K48" s="116" t="s">
        <v>92</v>
      </c>
      <c r="L48" s="152"/>
      <c r="M48" s="124"/>
      <c r="N48" s="150"/>
      <c r="O48" s="123"/>
      <c r="P48" s="125"/>
      <c r="Q48"/>
      <c r="R48"/>
      <c r="S48"/>
      <c r="T48"/>
      <c r="U48"/>
      <c r="V48"/>
    </row>
    <row r="49" spans="1:22">
      <c r="A49" s="7">
        <v>64120</v>
      </c>
      <c r="B49" s="7" t="s">
        <v>37</v>
      </c>
      <c r="C49" s="18"/>
      <c r="D49" s="53" t="s">
        <v>66</v>
      </c>
      <c r="E49" s="49">
        <v>110</v>
      </c>
      <c r="F49" s="50">
        <v>12</v>
      </c>
      <c r="G49" s="49">
        <f t="shared" si="6"/>
        <v>1320</v>
      </c>
      <c r="H49" s="49"/>
      <c r="I49" s="49"/>
      <c r="J49" s="52"/>
      <c r="K49" s="116" t="s">
        <v>92</v>
      </c>
      <c r="L49" s="152"/>
      <c r="M49" s="124"/>
      <c r="N49" s="150"/>
      <c r="O49" s="123"/>
      <c r="P49" s="125"/>
      <c r="Q49"/>
      <c r="R49"/>
      <c r="S49"/>
      <c r="T49"/>
      <c r="U49"/>
      <c r="V49"/>
    </row>
    <row r="50" spans="1:22">
      <c r="A50" s="23">
        <v>64130</v>
      </c>
      <c r="B50" s="23" t="s">
        <v>38</v>
      </c>
      <c r="C50" s="24"/>
      <c r="D50" s="59"/>
      <c r="E50" s="69"/>
      <c r="F50" s="70"/>
      <c r="G50" s="69"/>
      <c r="H50" s="69"/>
      <c r="I50" s="69"/>
      <c r="J50" s="71"/>
      <c r="K50" s="120"/>
      <c r="L50" s="160"/>
      <c r="M50" s="127"/>
      <c r="N50" s="165"/>
      <c r="O50" s="127"/>
      <c r="P50" s="127"/>
      <c r="Q50"/>
      <c r="R50"/>
      <c r="S50"/>
      <c r="T50"/>
      <c r="U50"/>
      <c r="V50"/>
    </row>
    <row r="51" spans="1:22">
      <c r="A51" s="7">
        <v>64131</v>
      </c>
      <c r="B51" s="7" t="s">
        <v>39</v>
      </c>
      <c r="C51" s="18"/>
      <c r="D51" s="53" t="s">
        <v>66</v>
      </c>
      <c r="E51" s="49">
        <v>110</v>
      </c>
      <c r="F51" s="50">
        <v>12</v>
      </c>
      <c r="G51" s="49">
        <f t="shared" si="6"/>
        <v>1320</v>
      </c>
      <c r="H51" s="49"/>
      <c r="I51" s="49"/>
      <c r="J51" s="52"/>
      <c r="K51" s="116" t="s">
        <v>92</v>
      </c>
      <c r="L51" s="152"/>
      <c r="M51" s="125"/>
      <c r="N51" s="153"/>
      <c r="O51" s="123"/>
      <c r="P51" s="125"/>
      <c r="Q51"/>
      <c r="R51"/>
      <c r="S51"/>
      <c r="T51"/>
      <c r="U51"/>
      <c r="V51"/>
    </row>
    <row r="52" spans="1:22">
      <c r="A52" s="7">
        <v>64132</v>
      </c>
      <c r="B52" s="7" t="s">
        <v>80</v>
      </c>
      <c r="C52" s="18"/>
      <c r="D52" s="53" t="s">
        <v>66</v>
      </c>
      <c r="E52" s="49">
        <v>40</v>
      </c>
      <c r="F52" s="50">
        <v>12</v>
      </c>
      <c r="G52" s="49">
        <f t="shared" si="6"/>
        <v>480</v>
      </c>
      <c r="H52" s="49"/>
      <c r="I52" s="49"/>
      <c r="J52" s="52"/>
      <c r="K52" s="116" t="s">
        <v>92</v>
      </c>
      <c r="L52" s="152"/>
      <c r="M52" s="125"/>
      <c r="N52" s="153"/>
      <c r="O52" s="123"/>
      <c r="P52" s="125"/>
      <c r="Q52"/>
      <c r="R52"/>
      <c r="S52"/>
      <c r="T52"/>
      <c r="U52"/>
      <c r="V52"/>
    </row>
    <row r="53" spans="1:22">
      <c r="A53" s="7">
        <v>64140</v>
      </c>
      <c r="B53" s="7" t="s">
        <v>40</v>
      </c>
      <c r="C53" s="18"/>
      <c r="D53" s="53" t="s">
        <v>66</v>
      </c>
      <c r="E53" s="49">
        <v>280</v>
      </c>
      <c r="F53" s="50">
        <v>12</v>
      </c>
      <c r="G53" s="49">
        <f t="shared" si="6"/>
        <v>3360</v>
      </c>
      <c r="H53" s="49"/>
      <c r="I53" s="49"/>
      <c r="J53" s="52"/>
      <c r="K53" s="116" t="s">
        <v>92</v>
      </c>
      <c r="L53" s="152"/>
      <c r="M53" s="124"/>
      <c r="N53" s="153"/>
      <c r="O53" s="123"/>
      <c r="P53" s="125"/>
      <c r="Q53"/>
      <c r="R53"/>
      <c r="S53"/>
      <c r="T53"/>
      <c r="U53"/>
      <c r="V53"/>
    </row>
    <row r="54" spans="1:22">
      <c r="A54" s="7">
        <v>64150</v>
      </c>
      <c r="B54" s="7" t="s">
        <v>41</v>
      </c>
      <c r="C54" s="18"/>
      <c r="D54" s="53" t="s">
        <v>66</v>
      </c>
      <c r="E54" s="49">
        <v>10</v>
      </c>
      <c r="F54" s="50">
        <v>12</v>
      </c>
      <c r="G54" s="49">
        <f t="shared" si="6"/>
        <v>120</v>
      </c>
      <c r="H54" s="49"/>
      <c r="I54" s="49"/>
      <c r="J54" s="52"/>
      <c r="K54" s="116" t="s">
        <v>92</v>
      </c>
      <c r="L54" s="156"/>
      <c r="M54" s="125"/>
      <c r="N54" s="153"/>
      <c r="O54" s="123"/>
      <c r="P54" s="125"/>
      <c r="Q54"/>
      <c r="R54"/>
      <c r="S54"/>
      <c r="T54"/>
      <c r="U54"/>
      <c r="V54"/>
    </row>
    <row r="55" spans="1:22">
      <c r="A55" s="8">
        <v>64200</v>
      </c>
      <c r="B55" s="8" t="s">
        <v>42</v>
      </c>
      <c r="C55" s="19"/>
      <c r="D55" s="64"/>
      <c r="E55" s="88"/>
      <c r="F55" s="89"/>
      <c r="G55" s="88"/>
      <c r="H55" s="88">
        <f>SUM(G56:G61)</f>
        <v>15600</v>
      </c>
      <c r="I55" s="88"/>
      <c r="J55" s="90"/>
      <c r="K55" s="117"/>
      <c r="L55" s="157"/>
      <c r="M55" s="88"/>
      <c r="N55" s="154"/>
      <c r="O55" s="88"/>
      <c r="P55" s="88"/>
      <c r="Q55"/>
      <c r="R55"/>
      <c r="S55"/>
      <c r="T55"/>
      <c r="U55"/>
      <c r="V55"/>
    </row>
    <row r="56" spans="1:22">
      <c r="A56" s="25">
        <v>64210</v>
      </c>
      <c r="B56" s="25" t="s">
        <v>43</v>
      </c>
      <c r="C56" s="24"/>
      <c r="D56" s="59"/>
      <c r="E56" s="69"/>
      <c r="F56" s="70"/>
      <c r="G56" s="69"/>
      <c r="H56" s="69"/>
      <c r="I56" s="69"/>
      <c r="J56" s="71"/>
      <c r="K56" s="110"/>
      <c r="L56" s="149"/>
      <c r="M56" s="69"/>
      <c r="N56" s="151"/>
      <c r="O56" s="69"/>
      <c r="P56" s="69"/>
      <c r="Q56"/>
      <c r="R56"/>
      <c r="S56"/>
      <c r="T56"/>
      <c r="U56"/>
      <c r="V56"/>
    </row>
    <row r="57" spans="1:22">
      <c r="A57" s="60">
        <v>64211</v>
      </c>
      <c r="B57" s="6" t="s">
        <v>44</v>
      </c>
      <c r="C57" s="5"/>
      <c r="D57" s="53" t="s">
        <v>66</v>
      </c>
      <c r="E57" s="49">
        <v>50</v>
      </c>
      <c r="F57" s="50">
        <f>9*12</f>
        <v>108</v>
      </c>
      <c r="G57" s="49">
        <f>E57*F57</f>
        <v>5400</v>
      </c>
      <c r="H57" s="49"/>
      <c r="I57" s="49"/>
      <c r="J57" s="52"/>
      <c r="K57" s="116" t="s">
        <v>92</v>
      </c>
      <c r="L57" s="158"/>
      <c r="M57" s="125"/>
      <c r="N57" s="153"/>
      <c r="O57" s="123"/>
      <c r="P57" s="125"/>
      <c r="Q57"/>
      <c r="R57"/>
      <c r="S57"/>
      <c r="T57"/>
      <c r="U57"/>
      <c r="V57"/>
    </row>
    <row r="58" spans="1:22">
      <c r="A58" s="60">
        <v>64212</v>
      </c>
      <c r="B58" s="7" t="s">
        <v>45</v>
      </c>
      <c r="C58" s="5"/>
      <c r="D58" s="53" t="s">
        <v>66</v>
      </c>
      <c r="E58" s="49">
        <v>50</v>
      </c>
      <c r="F58" s="50">
        <v>12</v>
      </c>
      <c r="G58" s="49">
        <f t="shared" ref="G58:G61" si="8">E58*F58</f>
        <v>600</v>
      </c>
      <c r="H58" s="49"/>
      <c r="I58" s="49"/>
      <c r="J58" s="52"/>
      <c r="K58" s="116" t="s">
        <v>92</v>
      </c>
      <c r="L58" s="161"/>
      <c r="M58" s="125"/>
      <c r="N58" s="153"/>
      <c r="O58" s="123"/>
      <c r="P58" s="125"/>
      <c r="Q58"/>
      <c r="R58"/>
      <c r="S58"/>
      <c r="T58"/>
      <c r="U58"/>
      <c r="V58"/>
    </row>
    <row r="59" spans="1:22">
      <c r="A59" s="25">
        <v>64220</v>
      </c>
      <c r="B59" s="23" t="s">
        <v>46</v>
      </c>
      <c r="C59" s="22"/>
      <c r="D59" s="59"/>
      <c r="E59" s="69"/>
      <c r="F59" s="70"/>
      <c r="G59" s="69"/>
      <c r="H59" s="69"/>
      <c r="I59" s="69"/>
      <c r="J59" s="71"/>
      <c r="K59" s="110"/>
      <c r="L59" s="149"/>
      <c r="M59" s="69"/>
      <c r="N59" s="151"/>
      <c r="O59" s="69"/>
      <c r="P59" s="69"/>
      <c r="Q59"/>
      <c r="R59"/>
      <c r="S59"/>
      <c r="T59"/>
      <c r="U59"/>
      <c r="V59"/>
    </row>
    <row r="60" spans="1:22">
      <c r="A60" s="60">
        <v>64221</v>
      </c>
      <c r="B60" s="7" t="s">
        <v>47</v>
      </c>
      <c r="C60" s="18"/>
      <c r="D60" s="53" t="s">
        <v>66</v>
      </c>
      <c r="E60" s="49">
        <v>300</v>
      </c>
      <c r="F60" s="50">
        <v>12</v>
      </c>
      <c r="G60" s="49">
        <f t="shared" si="8"/>
        <v>3600</v>
      </c>
      <c r="H60" s="49"/>
      <c r="I60" s="49"/>
      <c r="J60" s="52"/>
      <c r="K60" s="116" t="s">
        <v>93</v>
      </c>
      <c r="L60" s="161"/>
      <c r="M60" s="124"/>
      <c r="N60" s="150"/>
      <c r="O60" s="123"/>
      <c r="P60" s="125"/>
      <c r="Q60"/>
      <c r="R60"/>
      <c r="S60"/>
      <c r="T60"/>
      <c r="U60"/>
      <c r="V60"/>
    </row>
    <row r="61" spans="1:22">
      <c r="A61" s="60">
        <v>64222</v>
      </c>
      <c r="B61" s="6" t="s">
        <v>48</v>
      </c>
      <c r="C61" s="5"/>
      <c r="D61" s="53" t="s">
        <v>66</v>
      </c>
      <c r="E61" s="49">
        <v>500</v>
      </c>
      <c r="F61" s="50">
        <v>12</v>
      </c>
      <c r="G61" s="49">
        <f t="shared" si="8"/>
        <v>6000</v>
      </c>
      <c r="H61" s="49"/>
      <c r="I61" s="49"/>
      <c r="J61" s="52"/>
      <c r="K61" s="116" t="s">
        <v>93</v>
      </c>
      <c r="L61" s="161"/>
      <c r="M61" s="125"/>
      <c r="N61" s="153"/>
      <c r="O61" s="123"/>
      <c r="P61" s="125"/>
      <c r="Q61"/>
      <c r="R61"/>
      <c r="S61"/>
      <c r="T61"/>
      <c r="U61"/>
      <c r="V61"/>
    </row>
    <row r="62" spans="1:22">
      <c r="A62" s="12">
        <v>65000</v>
      </c>
      <c r="B62" s="12" t="s">
        <v>49</v>
      </c>
      <c r="C62" s="13"/>
      <c r="D62" s="63"/>
      <c r="E62" s="51"/>
      <c r="F62" s="87"/>
      <c r="G62" s="51"/>
      <c r="H62" s="46">
        <f>SUM(G63:G65)</f>
        <v>12600</v>
      </c>
      <c r="I62" s="46">
        <f>H62</f>
        <v>12600</v>
      </c>
      <c r="J62" s="41">
        <f>I62/$I$76</f>
        <v>9.5838398205692205E-2</v>
      </c>
      <c r="K62" s="108"/>
      <c r="L62" s="147"/>
      <c r="M62" s="46"/>
      <c r="N62" s="159"/>
      <c r="O62" s="46"/>
      <c r="P62" s="46"/>
      <c r="Q62"/>
      <c r="R62"/>
      <c r="S62"/>
      <c r="T62"/>
      <c r="U62"/>
      <c r="V62"/>
    </row>
    <row r="63" spans="1:22">
      <c r="A63" s="60">
        <v>65100</v>
      </c>
      <c r="B63" s="6" t="s">
        <v>88</v>
      </c>
      <c r="C63" s="18"/>
      <c r="D63" s="53" t="s">
        <v>66</v>
      </c>
      <c r="E63" s="49">
        <v>500</v>
      </c>
      <c r="F63" s="50">
        <v>12</v>
      </c>
      <c r="G63" s="49">
        <f>E63*F63</f>
        <v>6000</v>
      </c>
      <c r="H63" s="49"/>
      <c r="I63" s="49"/>
      <c r="J63" s="52"/>
      <c r="K63" s="116" t="s">
        <v>94</v>
      </c>
      <c r="L63" s="152"/>
      <c r="M63" s="124"/>
      <c r="N63" s="150"/>
      <c r="O63" s="123"/>
      <c r="P63" s="125"/>
      <c r="Q63"/>
      <c r="R63"/>
      <c r="S63"/>
      <c r="T63"/>
      <c r="U63"/>
      <c r="V63"/>
    </row>
    <row r="64" spans="1:22">
      <c r="A64" s="60">
        <v>65200</v>
      </c>
      <c r="B64" s="6" t="s">
        <v>50</v>
      </c>
      <c r="C64" s="18"/>
      <c r="D64" s="53" t="s">
        <v>83</v>
      </c>
      <c r="E64" s="49">
        <v>300</v>
      </c>
      <c r="F64" s="50">
        <v>6</v>
      </c>
      <c r="G64" s="49">
        <f>E64*F64</f>
        <v>1800</v>
      </c>
      <c r="H64" s="49"/>
      <c r="I64" s="49"/>
      <c r="J64" s="52"/>
      <c r="K64" s="116" t="s">
        <v>94</v>
      </c>
      <c r="L64" s="152"/>
      <c r="M64" s="125"/>
      <c r="N64" s="150"/>
      <c r="O64" s="123"/>
      <c r="P64" s="125"/>
      <c r="Q64"/>
      <c r="R64"/>
      <c r="S64"/>
      <c r="T64"/>
      <c r="U64"/>
      <c r="V64"/>
    </row>
    <row r="65" spans="1:22">
      <c r="A65" s="60">
        <v>65300</v>
      </c>
      <c r="B65" s="6" t="s">
        <v>51</v>
      </c>
      <c r="C65" s="5"/>
      <c r="D65" s="53" t="s">
        <v>81</v>
      </c>
      <c r="E65" s="49">
        <v>1200</v>
      </c>
      <c r="F65" s="50">
        <v>4</v>
      </c>
      <c r="G65" s="49">
        <f>E65*F65</f>
        <v>4800</v>
      </c>
      <c r="H65" s="49"/>
      <c r="I65" s="49"/>
      <c r="J65" s="52"/>
      <c r="K65" s="116" t="s">
        <v>94</v>
      </c>
      <c r="L65" s="152"/>
      <c r="M65" s="125"/>
      <c r="N65" s="150"/>
      <c r="O65" s="123"/>
      <c r="P65" s="125"/>
      <c r="Q65"/>
      <c r="R65"/>
      <c r="S65"/>
      <c r="T65"/>
      <c r="U65"/>
      <c r="V65"/>
    </row>
    <row r="66" spans="1:22">
      <c r="A66" s="12">
        <v>66000</v>
      </c>
      <c r="B66" s="12" t="s">
        <v>86</v>
      </c>
      <c r="C66" s="1"/>
      <c r="D66" s="1"/>
      <c r="E66" s="46"/>
      <c r="F66" s="44"/>
      <c r="G66" s="46"/>
      <c r="H66" s="46">
        <f>SUM(G67:G69)</f>
        <v>0</v>
      </c>
      <c r="I66" s="46">
        <f>H66</f>
        <v>0</v>
      </c>
      <c r="J66" s="41">
        <f>I66/$I$76</f>
        <v>0</v>
      </c>
      <c r="K66" s="108"/>
      <c r="L66" s="147"/>
      <c r="M66" s="46"/>
      <c r="N66" s="159"/>
      <c r="O66" s="46"/>
      <c r="P66" s="46"/>
      <c r="Q66"/>
      <c r="R66"/>
      <c r="S66"/>
      <c r="T66"/>
      <c r="U66"/>
      <c r="V66"/>
    </row>
    <row r="67" spans="1:22">
      <c r="A67" s="15">
        <v>66100</v>
      </c>
      <c r="B67" s="6" t="s">
        <v>52</v>
      </c>
      <c r="C67" s="20"/>
      <c r="D67" s="54" t="s">
        <v>84</v>
      </c>
      <c r="E67" s="55">
        <v>0</v>
      </c>
      <c r="F67" s="56">
        <v>0</v>
      </c>
      <c r="G67" s="55">
        <f>E67*F67</f>
        <v>0</v>
      </c>
      <c r="H67" s="47"/>
      <c r="I67" s="47"/>
      <c r="J67" s="42"/>
      <c r="K67" s="118" t="s">
        <v>94</v>
      </c>
      <c r="L67" s="162"/>
      <c r="M67" s="55"/>
      <c r="N67" s="150"/>
      <c r="O67" s="130"/>
      <c r="P67" s="55"/>
      <c r="Q67"/>
      <c r="R67"/>
      <c r="S67"/>
      <c r="T67"/>
      <c r="U67"/>
      <c r="V67"/>
    </row>
    <row r="68" spans="1:22">
      <c r="A68" s="15">
        <v>66200</v>
      </c>
      <c r="B68" s="6" t="s">
        <v>53</v>
      </c>
      <c r="C68" s="20"/>
      <c r="D68" s="54" t="s">
        <v>84</v>
      </c>
      <c r="E68" s="55">
        <v>0</v>
      </c>
      <c r="F68" s="56">
        <v>0</v>
      </c>
      <c r="G68" s="55">
        <f>E68*F68</f>
        <v>0</v>
      </c>
      <c r="H68" s="47"/>
      <c r="I68" s="47"/>
      <c r="J68" s="42"/>
      <c r="K68" s="121" t="s">
        <v>94</v>
      </c>
      <c r="L68" s="152"/>
      <c r="M68" s="123"/>
      <c r="N68" s="150"/>
      <c r="O68" s="130"/>
      <c r="P68" s="55"/>
      <c r="Q68"/>
      <c r="R68"/>
      <c r="S68"/>
      <c r="T68"/>
      <c r="U68"/>
      <c r="V68"/>
    </row>
    <row r="69" spans="1:22">
      <c r="A69" s="60">
        <v>66300</v>
      </c>
      <c r="B69" s="6" t="s">
        <v>54</v>
      </c>
      <c r="C69" s="5" t="s">
        <v>55</v>
      </c>
      <c r="D69" s="53" t="s">
        <v>85</v>
      </c>
      <c r="E69" s="49">
        <v>0</v>
      </c>
      <c r="F69" s="50">
        <v>0</v>
      </c>
      <c r="G69" s="49">
        <f>E69*F69</f>
        <v>0</v>
      </c>
      <c r="H69" s="49"/>
      <c r="I69" s="49"/>
      <c r="J69" s="52"/>
      <c r="K69" s="116" t="s">
        <v>94</v>
      </c>
      <c r="L69" s="152"/>
      <c r="M69" s="55"/>
      <c r="N69" s="150"/>
      <c r="O69" s="130"/>
      <c r="P69" s="49"/>
      <c r="Q69"/>
      <c r="R69"/>
      <c r="S69"/>
      <c r="T69"/>
      <c r="U69"/>
      <c r="V69"/>
    </row>
    <row r="70" spans="1:22">
      <c r="A70" s="12">
        <v>67000</v>
      </c>
      <c r="B70" s="12" t="s">
        <v>56</v>
      </c>
      <c r="C70" s="13"/>
      <c r="D70" s="63"/>
      <c r="E70" s="51"/>
      <c r="F70" s="87"/>
      <c r="G70" s="51"/>
      <c r="H70" s="46">
        <f>SUM(G71:G73)</f>
        <v>4800</v>
      </c>
      <c r="I70" s="46">
        <f>H70</f>
        <v>4800</v>
      </c>
      <c r="J70" s="41">
        <f>I70/$I$76</f>
        <v>3.6509865983120844E-2</v>
      </c>
      <c r="K70" s="108"/>
      <c r="L70" s="147"/>
      <c r="M70" s="46"/>
      <c r="N70" s="159"/>
      <c r="O70" s="46"/>
      <c r="P70" s="46"/>
      <c r="Q70"/>
      <c r="R70"/>
      <c r="S70"/>
      <c r="T70"/>
      <c r="U70"/>
      <c r="V70"/>
    </row>
    <row r="71" spans="1:22">
      <c r="A71" s="7">
        <v>67100</v>
      </c>
      <c r="B71" s="6" t="s">
        <v>57</v>
      </c>
      <c r="C71" s="5"/>
      <c r="D71" s="18" t="s">
        <v>89</v>
      </c>
      <c r="E71" s="49">
        <v>2800</v>
      </c>
      <c r="F71" s="50">
        <v>1</v>
      </c>
      <c r="G71" s="49">
        <f t="shared" ref="G71:G72" si="9">E71*F71</f>
        <v>2800</v>
      </c>
      <c r="H71" s="49"/>
      <c r="I71" s="49"/>
      <c r="J71" s="52"/>
      <c r="K71" s="116" t="s">
        <v>94</v>
      </c>
      <c r="L71" s="153"/>
      <c r="M71" s="124"/>
      <c r="N71" s="150"/>
      <c r="O71" s="123"/>
      <c r="P71" s="125"/>
      <c r="Q71"/>
      <c r="R71"/>
      <c r="S71"/>
      <c r="T71"/>
      <c r="U71"/>
      <c r="V71"/>
    </row>
    <row r="72" spans="1:22">
      <c r="A72" s="7">
        <v>67200</v>
      </c>
      <c r="B72" s="6" t="s">
        <v>58</v>
      </c>
      <c r="C72" s="5"/>
      <c r="D72" s="18" t="s">
        <v>90</v>
      </c>
      <c r="E72" s="49">
        <v>2000</v>
      </c>
      <c r="F72" s="50">
        <v>1</v>
      </c>
      <c r="G72" s="49">
        <f t="shared" si="9"/>
        <v>2000</v>
      </c>
      <c r="H72" s="49"/>
      <c r="I72" s="49"/>
      <c r="J72" s="52"/>
      <c r="K72" s="116" t="s">
        <v>94</v>
      </c>
      <c r="L72" s="152"/>
      <c r="M72" s="130"/>
      <c r="N72" s="150"/>
      <c r="O72" s="123"/>
      <c r="P72" s="125"/>
      <c r="Q72"/>
      <c r="R72"/>
      <c r="S72"/>
      <c r="T72"/>
      <c r="U72"/>
      <c r="V72"/>
    </row>
    <row r="73" spans="1:22">
      <c r="A73" s="7">
        <v>67300</v>
      </c>
      <c r="B73" s="6" t="s">
        <v>59</v>
      </c>
      <c r="C73" s="5"/>
      <c r="D73" s="18"/>
      <c r="E73" s="49"/>
      <c r="F73" s="50"/>
      <c r="G73" s="49"/>
      <c r="H73" s="49"/>
      <c r="I73" s="49"/>
      <c r="J73" s="52"/>
      <c r="K73" s="116"/>
      <c r="L73" s="156"/>
      <c r="M73" s="126"/>
      <c r="N73" s="150"/>
      <c r="O73" s="123"/>
      <c r="P73" s="125"/>
      <c r="Q73"/>
      <c r="R73"/>
      <c r="S73"/>
      <c r="T73"/>
      <c r="U73"/>
      <c r="V73"/>
    </row>
    <row r="74" spans="1:22">
      <c r="A74" s="12">
        <v>68000</v>
      </c>
      <c r="B74" s="12" t="s">
        <v>60</v>
      </c>
      <c r="C74" s="12"/>
      <c r="D74" s="12"/>
      <c r="E74" s="48"/>
      <c r="F74" s="45"/>
      <c r="G74" s="48"/>
      <c r="H74" s="48"/>
      <c r="I74" s="48"/>
      <c r="J74" s="43"/>
      <c r="K74" s="119"/>
      <c r="L74" s="48"/>
      <c r="M74" s="48"/>
      <c r="N74" s="159"/>
      <c r="O74" s="48"/>
      <c r="P74" s="48"/>
      <c r="Q74"/>
      <c r="R74"/>
      <c r="S74"/>
      <c r="T74"/>
      <c r="U74"/>
      <c r="V74"/>
    </row>
    <row r="75" spans="1:22">
      <c r="E75" s="94"/>
      <c r="F75" s="95"/>
      <c r="G75" s="94"/>
      <c r="H75" s="94"/>
      <c r="I75" s="94"/>
      <c r="J75" s="96"/>
      <c r="K75" s="96"/>
      <c r="L75" s="49"/>
      <c r="M75" s="49"/>
      <c r="N75" s="49"/>
      <c r="O75" s="49"/>
      <c r="P75" s="49"/>
      <c r="Q75"/>
      <c r="R75"/>
      <c r="S75"/>
      <c r="T75"/>
      <c r="U75"/>
      <c r="V75"/>
    </row>
    <row r="76" spans="1:22">
      <c r="A76" s="106"/>
      <c r="B76" s="169" t="s">
        <v>91</v>
      </c>
      <c r="C76" s="97"/>
      <c r="D76" s="97"/>
      <c r="E76" s="98"/>
      <c r="F76" s="99"/>
      <c r="G76" s="168">
        <f>SUM(G6:G75)</f>
        <v>131471.3125</v>
      </c>
      <c r="H76" s="168">
        <f>SUM(H6:H75)</f>
        <v>131471.3125</v>
      </c>
      <c r="I76" s="168">
        <f>SUM(I6:I75)</f>
        <v>131471.3125</v>
      </c>
      <c r="J76" s="100">
        <f>I76/$I$76</f>
        <v>1</v>
      </c>
      <c r="K76" s="122"/>
      <c r="L76" s="128"/>
      <c r="M76" s="128">
        <f>SUM(M6:M75)</f>
        <v>7080</v>
      </c>
      <c r="N76" s="128"/>
      <c r="O76" s="128">
        <f>SUM(O6:O75)</f>
        <v>0</v>
      </c>
      <c r="P76" s="128"/>
      <c r="Q76"/>
      <c r="R76"/>
      <c r="S76"/>
      <c r="T76"/>
      <c r="U76"/>
      <c r="V76"/>
    </row>
    <row r="77" spans="1:22">
      <c r="Q77"/>
      <c r="R77"/>
      <c r="S77"/>
      <c r="T77"/>
      <c r="U77"/>
      <c r="V77"/>
    </row>
    <row r="78" spans="1:22">
      <c r="A78" s="167" t="s">
        <v>92</v>
      </c>
      <c r="B78" s="131" t="s">
        <v>169</v>
      </c>
      <c r="C78" s="131"/>
      <c r="D78" s="132"/>
      <c r="E78" s="133"/>
      <c r="F78" s="134"/>
      <c r="G78" s="133">
        <f>SUMIF(K$6:K$74,"A",G$6:G$74)</f>
        <v>97271.3125</v>
      </c>
      <c r="H78" s="133"/>
      <c r="I78" s="133"/>
      <c r="J78" s="135">
        <f>G78/$I$76</f>
        <v>0.73986720487026403</v>
      </c>
    </row>
    <row r="79" spans="1:22">
      <c r="A79" s="167" t="s">
        <v>93</v>
      </c>
      <c r="B79" s="131" t="s">
        <v>204</v>
      </c>
      <c r="C79" s="131"/>
      <c r="D79" s="132"/>
      <c r="E79" s="133"/>
      <c r="F79" s="134"/>
      <c r="G79" s="133">
        <f>SUMIF(K$6:K$74,"B",G$6:G$74)</f>
        <v>9600</v>
      </c>
      <c r="H79" s="133"/>
      <c r="I79" s="133"/>
      <c r="J79" s="135">
        <f>G79/$I$76</f>
        <v>7.3019731966241688E-2</v>
      </c>
    </row>
    <row r="80" spans="1:22">
      <c r="A80" s="167" t="s">
        <v>94</v>
      </c>
      <c r="B80" s="131" t="s">
        <v>168</v>
      </c>
      <c r="C80" s="131"/>
      <c r="D80" s="132"/>
      <c r="E80" s="133"/>
      <c r="F80" s="134"/>
      <c r="G80" s="133">
        <f>SUMIF(K$6:K$74,"C",G$6:G$74)</f>
        <v>24600</v>
      </c>
      <c r="H80" s="133"/>
      <c r="I80" s="133"/>
      <c r="J80" s="135">
        <f>G80/$I$76</f>
        <v>0.18711306316349433</v>
      </c>
    </row>
    <row r="81" spans="2:7">
      <c r="G81" s="28">
        <f>SUM(G78:G80)</f>
        <v>131471.3125</v>
      </c>
    </row>
    <row r="82" spans="2:7">
      <c r="B82" s="131" t="s">
        <v>169</v>
      </c>
      <c r="G82" s="28">
        <f>G78+G79*50%</f>
        <v>102071.3125</v>
      </c>
    </row>
    <row r="83" spans="2:7">
      <c r="B83" s="131" t="s">
        <v>168</v>
      </c>
      <c r="G83" s="28">
        <f>G80+G79*50%</f>
        <v>29400</v>
      </c>
    </row>
    <row r="84" spans="2:7">
      <c r="G84" s="28">
        <f>SUM(G82:G83)</f>
        <v>131471.3125</v>
      </c>
    </row>
  </sheetData>
  <mergeCells count="13">
    <mergeCell ref="L4:M4"/>
    <mergeCell ref="N4:O4"/>
    <mergeCell ref="L3:P3"/>
    <mergeCell ref="H3:H4"/>
    <mergeCell ref="I3:I4"/>
    <mergeCell ref="J3:J4"/>
    <mergeCell ref="F3:F4"/>
    <mergeCell ref="G3:G4"/>
    <mergeCell ref="C3:C5"/>
    <mergeCell ref="A3:A5"/>
    <mergeCell ref="B3:B5"/>
    <mergeCell ref="D3:D5"/>
    <mergeCell ref="E3:E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RowHeight="15"/>
  <cols>
    <col min="1" max="1" width="37.140625" customWidth="1"/>
    <col min="2" max="2" width="16.42578125" customWidth="1"/>
    <col min="3" max="10" width="10.42578125" customWidth="1"/>
    <col min="11" max="11" width="11.5703125" customWidth="1"/>
    <col min="12" max="13" width="10.42578125" customWidth="1"/>
    <col min="14" max="14" width="11" customWidth="1"/>
  </cols>
  <sheetData>
    <row r="1" spans="1:15" ht="18.75">
      <c r="A1" s="170" t="s">
        <v>127</v>
      </c>
      <c r="B1" s="170"/>
    </row>
    <row r="2" spans="1:15" ht="15" customHeight="1">
      <c r="A2" s="170"/>
      <c r="B2" s="170"/>
      <c r="C2" t="s">
        <v>96</v>
      </c>
      <c r="D2">
        <v>1.45</v>
      </c>
    </row>
    <row r="3" spans="1:15" ht="15" customHeight="1">
      <c r="B3" s="173" t="s">
        <v>16</v>
      </c>
      <c r="C3" s="177" t="s">
        <v>125</v>
      </c>
      <c r="D3" s="26" t="s">
        <v>8</v>
      </c>
      <c r="E3" s="26" t="s">
        <v>6</v>
      </c>
      <c r="F3" s="26" t="s">
        <v>67</v>
      </c>
      <c r="G3" s="26" t="s">
        <v>68</v>
      </c>
      <c r="H3" s="26" t="s">
        <v>69</v>
      </c>
      <c r="I3" s="26" t="s">
        <v>70</v>
      </c>
      <c r="J3" s="26" t="s">
        <v>71</v>
      </c>
      <c r="K3" s="26" t="s">
        <v>12</v>
      </c>
      <c r="L3" s="26" t="s">
        <v>10</v>
      </c>
      <c r="M3" s="26" t="s">
        <v>117</v>
      </c>
      <c r="N3" s="26" t="s">
        <v>130</v>
      </c>
    </row>
    <row r="4" spans="1:15">
      <c r="A4" s="27" t="s">
        <v>95</v>
      </c>
      <c r="B4" s="176">
        <v>1200</v>
      </c>
      <c r="C4" s="28">
        <v>600</v>
      </c>
      <c r="D4" s="28">
        <v>300</v>
      </c>
      <c r="E4" s="28">
        <v>350</v>
      </c>
      <c r="F4" s="28">
        <v>170</v>
      </c>
      <c r="G4" s="28">
        <v>170</v>
      </c>
      <c r="H4" s="28">
        <v>170</v>
      </c>
      <c r="I4" s="28">
        <v>170</v>
      </c>
      <c r="J4" s="28">
        <v>170</v>
      </c>
      <c r="K4" s="28">
        <v>230</v>
      </c>
      <c r="L4" s="28">
        <v>300</v>
      </c>
      <c r="M4" s="28">
        <v>210</v>
      </c>
      <c r="N4" s="28">
        <v>200</v>
      </c>
    </row>
    <row r="5" spans="1:15">
      <c r="A5" s="27" t="s">
        <v>126</v>
      </c>
      <c r="B5" s="176">
        <v>1200</v>
      </c>
      <c r="C5" s="102">
        <v>600</v>
      </c>
      <c r="D5" s="102">
        <v>365</v>
      </c>
      <c r="E5" s="102">
        <v>460</v>
      </c>
      <c r="F5" s="102">
        <v>220</v>
      </c>
      <c r="G5" s="102">
        <v>220</v>
      </c>
      <c r="H5" s="102">
        <v>220</v>
      </c>
      <c r="I5" s="102">
        <v>215</v>
      </c>
      <c r="J5" s="102">
        <v>195</v>
      </c>
      <c r="K5" s="102">
        <v>255</v>
      </c>
      <c r="L5" s="28">
        <v>320</v>
      </c>
      <c r="M5" s="102">
        <v>240</v>
      </c>
      <c r="N5" s="28">
        <v>215</v>
      </c>
    </row>
    <row r="6" spans="1:15">
      <c r="A6" s="27" t="s">
        <v>72</v>
      </c>
      <c r="B6" s="174">
        <v>9</v>
      </c>
      <c r="C6" s="29">
        <v>3</v>
      </c>
      <c r="D6" s="29">
        <v>9</v>
      </c>
      <c r="E6" s="29">
        <v>9</v>
      </c>
      <c r="F6" s="29">
        <v>9</v>
      </c>
      <c r="G6" s="29">
        <v>9</v>
      </c>
      <c r="H6" s="29">
        <v>9</v>
      </c>
      <c r="I6" s="29">
        <v>9</v>
      </c>
      <c r="J6" s="29">
        <v>9</v>
      </c>
      <c r="K6" s="29">
        <v>9</v>
      </c>
      <c r="L6" s="29">
        <v>9</v>
      </c>
      <c r="M6" s="29">
        <v>9</v>
      </c>
      <c r="N6" s="29">
        <v>9</v>
      </c>
      <c r="O6" s="37">
        <f>SUM(G9,I9:K9)</f>
        <v>930</v>
      </c>
    </row>
    <row r="7" spans="1:15">
      <c r="A7" s="27" t="s">
        <v>133</v>
      </c>
      <c r="B7" s="176"/>
      <c r="C7" s="102">
        <v>650</v>
      </c>
      <c r="D7" s="102"/>
      <c r="E7" s="102"/>
      <c r="F7" s="102"/>
      <c r="G7" s="102"/>
      <c r="H7" s="102"/>
      <c r="I7" s="102"/>
      <c r="J7" s="102"/>
      <c r="K7" s="102"/>
      <c r="L7" s="28"/>
      <c r="M7" s="102"/>
      <c r="N7" s="28"/>
    </row>
    <row r="8" spans="1:15">
      <c r="A8" s="27" t="s">
        <v>72</v>
      </c>
      <c r="B8" s="174"/>
      <c r="C8" s="29">
        <v>9</v>
      </c>
      <c r="N8" s="29">
        <v>3</v>
      </c>
    </row>
    <row r="9" spans="1:15">
      <c r="A9" s="27" t="s">
        <v>132</v>
      </c>
      <c r="B9" s="176">
        <v>1250</v>
      </c>
      <c r="C9" s="29">
        <f>C7</f>
        <v>650</v>
      </c>
      <c r="D9" s="28">
        <v>370</v>
      </c>
      <c r="E9" s="28">
        <v>480</v>
      </c>
      <c r="F9" s="28">
        <v>230</v>
      </c>
      <c r="G9" s="28">
        <v>230</v>
      </c>
      <c r="H9" s="28">
        <v>230</v>
      </c>
      <c r="I9" s="28">
        <v>230</v>
      </c>
      <c r="J9" s="28">
        <v>210</v>
      </c>
      <c r="K9" s="28">
        <v>260</v>
      </c>
      <c r="L9" s="28">
        <v>350</v>
      </c>
      <c r="M9" s="28">
        <v>250</v>
      </c>
      <c r="N9" s="29">
        <v>225</v>
      </c>
    </row>
    <row r="10" spans="1:15">
      <c r="A10" s="27" t="s">
        <v>72</v>
      </c>
      <c r="B10" s="175">
        <v>3</v>
      </c>
      <c r="C10" s="29"/>
      <c r="D10" s="29">
        <v>3</v>
      </c>
      <c r="E10" s="29">
        <v>3</v>
      </c>
      <c r="F10" s="29">
        <v>3</v>
      </c>
      <c r="G10" s="29">
        <v>3</v>
      </c>
      <c r="H10" s="29">
        <v>3</v>
      </c>
      <c r="I10" s="29">
        <v>3</v>
      </c>
      <c r="J10" s="29">
        <v>3</v>
      </c>
      <c r="K10" s="29">
        <v>3</v>
      </c>
      <c r="L10" s="29">
        <v>3</v>
      </c>
      <c r="M10" s="29">
        <v>3</v>
      </c>
      <c r="N10" s="29">
        <v>4</v>
      </c>
    </row>
    <row r="11" spans="1:15">
      <c r="A11" s="27" t="s">
        <v>102</v>
      </c>
      <c r="B11" s="176">
        <f>B9-B5</f>
        <v>50</v>
      </c>
      <c r="C11" s="176">
        <f>C9-C5</f>
        <v>50</v>
      </c>
      <c r="D11" s="28">
        <f>D9-D5</f>
        <v>5</v>
      </c>
      <c r="E11" s="28">
        <f t="shared" ref="E11:M11" si="0">E9-E5</f>
        <v>20</v>
      </c>
      <c r="F11" s="28">
        <f t="shared" si="0"/>
        <v>10</v>
      </c>
      <c r="G11" s="28">
        <f t="shared" si="0"/>
        <v>10</v>
      </c>
      <c r="H11" s="28">
        <f t="shared" si="0"/>
        <v>10</v>
      </c>
      <c r="I11" s="28">
        <f t="shared" si="0"/>
        <v>15</v>
      </c>
      <c r="J11" s="28">
        <f t="shared" si="0"/>
        <v>15</v>
      </c>
      <c r="K11" s="28">
        <f t="shared" si="0"/>
        <v>5</v>
      </c>
      <c r="L11" s="28">
        <f t="shared" si="0"/>
        <v>30</v>
      </c>
      <c r="M11" s="28">
        <f t="shared" si="0"/>
        <v>10</v>
      </c>
      <c r="N11" s="28">
        <f t="shared" ref="N11" si="1">N9-N5</f>
        <v>10</v>
      </c>
    </row>
    <row r="12" spans="1:15">
      <c r="B12" s="30">
        <f>B11/B5</f>
        <v>4.1666666666666664E-2</v>
      </c>
      <c r="C12" s="30">
        <f>C11/C5</f>
        <v>8.3333333333333329E-2</v>
      </c>
      <c r="D12" s="30">
        <f>D11/D5</f>
        <v>1.3698630136986301E-2</v>
      </c>
      <c r="E12" s="30">
        <f t="shared" ref="E12:L12" si="2">E11/E5</f>
        <v>4.3478260869565216E-2</v>
      </c>
      <c r="F12" s="30">
        <f t="shared" si="2"/>
        <v>4.5454545454545456E-2</v>
      </c>
      <c r="G12" s="30">
        <f t="shared" si="2"/>
        <v>4.5454545454545456E-2</v>
      </c>
      <c r="H12" s="30">
        <f t="shared" si="2"/>
        <v>4.5454545454545456E-2</v>
      </c>
      <c r="I12" s="30">
        <f t="shared" si="2"/>
        <v>6.9767441860465115E-2</v>
      </c>
      <c r="J12" s="30">
        <f t="shared" si="2"/>
        <v>7.6923076923076927E-2</v>
      </c>
      <c r="K12" s="30">
        <f t="shared" si="2"/>
        <v>1.9607843137254902E-2</v>
      </c>
      <c r="L12" s="30">
        <f t="shared" si="2"/>
        <v>9.375E-2</v>
      </c>
      <c r="M12" s="30">
        <f t="shared" ref="M12:N12" si="3">M11/M5</f>
        <v>4.1666666666666664E-2</v>
      </c>
      <c r="N12" s="30">
        <f t="shared" si="3"/>
        <v>4.6511627906976744E-2</v>
      </c>
    </row>
    <row r="13" spans="1:15">
      <c r="A13" t="s">
        <v>73</v>
      </c>
      <c r="B13" s="28">
        <f>B5*B6+B7*B8+B9*B10</f>
        <v>14550</v>
      </c>
      <c r="C13" s="28">
        <f>C5*C6+C7*C8+C9*C10</f>
        <v>7650</v>
      </c>
      <c r="D13" s="28">
        <f t="shared" ref="D13:N13" si="4">D5*D6+D7*D8+D9*D10</f>
        <v>4395</v>
      </c>
      <c r="E13" s="28">
        <f t="shared" si="4"/>
        <v>5580</v>
      </c>
      <c r="F13" s="28">
        <f t="shared" si="4"/>
        <v>2670</v>
      </c>
      <c r="G13" s="28">
        <f t="shared" si="4"/>
        <v>2670</v>
      </c>
      <c r="H13" s="28">
        <f t="shared" si="4"/>
        <v>2670</v>
      </c>
      <c r="I13" s="28">
        <f t="shared" si="4"/>
        <v>2625</v>
      </c>
      <c r="J13" s="28">
        <f t="shared" si="4"/>
        <v>2385</v>
      </c>
      <c r="K13" s="28">
        <f t="shared" si="4"/>
        <v>3075</v>
      </c>
      <c r="L13" s="28">
        <f t="shared" si="4"/>
        <v>3930</v>
      </c>
      <c r="M13" s="28">
        <f t="shared" si="4"/>
        <v>2910</v>
      </c>
      <c r="N13" s="28">
        <f t="shared" si="4"/>
        <v>2835</v>
      </c>
    </row>
    <row r="14" spans="1:15">
      <c r="A14" t="s">
        <v>74</v>
      </c>
      <c r="B14" s="102">
        <f>B5/2</f>
        <v>600</v>
      </c>
      <c r="C14" s="102">
        <f>C7/2</f>
        <v>325</v>
      </c>
      <c r="D14" s="102">
        <f t="shared" ref="D14:N14" si="5">D5/2</f>
        <v>182.5</v>
      </c>
      <c r="E14" s="102">
        <f t="shared" si="5"/>
        <v>230</v>
      </c>
      <c r="F14" s="102">
        <f t="shared" si="5"/>
        <v>110</v>
      </c>
      <c r="G14" s="102">
        <f t="shared" si="5"/>
        <v>110</v>
      </c>
      <c r="H14" s="102">
        <f t="shared" si="5"/>
        <v>110</v>
      </c>
      <c r="I14" s="102">
        <f t="shared" si="5"/>
        <v>107.5</v>
      </c>
      <c r="J14" s="102">
        <f t="shared" si="5"/>
        <v>97.5</v>
      </c>
      <c r="K14" s="102">
        <f t="shared" si="5"/>
        <v>127.5</v>
      </c>
      <c r="L14" s="102">
        <f t="shared" si="5"/>
        <v>160</v>
      </c>
      <c r="M14" s="102">
        <f t="shared" si="5"/>
        <v>120</v>
      </c>
      <c r="N14" s="102">
        <f t="shared" si="5"/>
        <v>107.5</v>
      </c>
    </row>
    <row r="15" spans="1:15">
      <c r="A15" t="s">
        <v>75</v>
      </c>
      <c r="B15" s="102">
        <f>B9/2</f>
        <v>625</v>
      </c>
      <c r="C15" s="102">
        <f t="shared" ref="C15:N15" si="6">C9/2</f>
        <v>325</v>
      </c>
      <c r="D15" s="102">
        <f t="shared" si="6"/>
        <v>185</v>
      </c>
      <c r="E15" s="102">
        <f t="shared" si="6"/>
        <v>240</v>
      </c>
      <c r="F15" s="102">
        <f t="shared" si="6"/>
        <v>115</v>
      </c>
      <c r="G15" s="102">
        <f t="shared" si="6"/>
        <v>115</v>
      </c>
      <c r="H15" s="102">
        <f t="shared" si="6"/>
        <v>115</v>
      </c>
      <c r="I15" s="102">
        <f t="shared" si="6"/>
        <v>115</v>
      </c>
      <c r="J15" s="102">
        <f t="shared" si="6"/>
        <v>105</v>
      </c>
      <c r="K15" s="102">
        <f t="shared" si="6"/>
        <v>130</v>
      </c>
      <c r="L15" s="102">
        <f t="shared" si="6"/>
        <v>175</v>
      </c>
      <c r="M15" s="102">
        <f t="shared" si="6"/>
        <v>125</v>
      </c>
      <c r="N15" s="102">
        <f t="shared" si="6"/>
        <v>112.5</v>
      </c>
      <c r="O15" s="28"/>
    </row>
    <row r="16" spans="1:15">
      <c r="A16" t="s">
        <v>76</v>
      </c>
      <c r="B16" s="102">
        <f>SUM(B13:B15)*5%</f>
        <v>788.75</v>
      </c>
      <c r="C16" s="28">
        <f>SUM(C13:C15)*5%</f>
        <v>415</v>
      </c>
      <c r="D16" s="28">
        <f t="shared" ref="D16:I16" si="7">SUM(D13:D15)*5%</f>
        <v>238.125</v>
      </c>
      <c r="E16" s="28">
        <f t="shared" si="7"/>
        <v>302.5</v>
      </c>
      <c r="F16" s="28">
        <f t="shared" si="7"/>
        <v>144.75</v>
      </c>
      <c r="G16" s="28">
        <f t="shared" si="7"/>
        <v>144.75</v>
      </c>
      <c r="H16" s="28">
        <f t="shared" si="7"/>
        <v>144.75</v>
      </c>
      <c r="I16" s="28">
        <f t="shared" si="7"/>
        <v>142.375</v>
      </c>
      <c r="J16" s="28">
        <f>SUM(J13:J15)*5%</f>
        <v>129.375</v>
      </c>
      <c r="K16" s="28">
        <f t="shared" ref="K16" si="8">SUM(K13:K15)*5%</f>
        <v>166.625</v>
      </c>
      <c r="L16" s="28">
        <f t="shared" ref="L16" si="9">SUM(L13:L15)*5%</f>
        <v>213.25</v>
      </c>
      <c r="M16" s="28">
        <f t="shared" ref="M16" si="10">SUM(M13:M15)*5%</f>
        <v>157.75</v>
      </c>
      <c r="N16" s="28">
        <f t="shared" ref="N16" si="11">SUM(N13:N15)*5%</f>
        <v>152.75</v>
      </c>
    </row>
    <row r="17" spans="1:16">
      <c r="A17" t="s">
        <v>77</v>
      </c>
      <c r="B17" s="102">
        <v>130</v>
      </c>
      <c r="C17" s="28">
        <v>130</v>
      </c>
      <c r="D17" s="28">
        <v>130</v>
      </c>
      <c r="E17" s="28">
        <v>130</v>
      </c>
      <c r="F17" s="28">
        <v>130</v>
      </c>
      <c r="G17" s="28">
        <v>130</v>
      </c>
      <c r="H17" s="28">
        <v>130</v>
      </c>
      <c r="I17" s="28">
        <v>130</v>
      </c>
      <c r="J17" s="28">
        <v>130</v>
      </c>
      <c r="K17" s="28">
        <v>130</v>
      </c>
      <c r="L17" s="28">
        <v>130</v>
      </c>
      <c r="M17" s="28">
        <v>130</v>
      </c>
      <c r="N17" s="28">
        <v>130</v>
      </c>
    </row>
    <row r="18" spans="1:16">
      <c r="A18" t="s">
        <v>97</v>
      </c>
      <c r="B18" s="102">
        <f>SUM(B13:B17)</f>
        <v>16693.75</v>
      </c>
      <c r="C18" s="28">
        <f>SUM(C13:C17)</f>
        <v>8845</v>
      </c>
      <c r="D18" s="28">
        <f t="shared" ref="D18:N18" si="12">SUM(D13:D17)</f>
        <v>5130.625</v>
      </c>
      <c r="E18" s="28">
        <f t="shared" si="12"/>
        <v>6482.5</v>
      </c>
      <c r="F18" s="28">
        <f t="shared" si="12"/>
        <v>3169.75</v>
      </c>
      <c r="G18" s="28">
        <f t="shared" si="12"/>
        <v>3169.75</v>
      </c>
      <c r="H18" s="28">
        <f t="shared" si="12"/>
        <v>3169.75</v>
      </c>
      <c r="I18" s="28">
        <f t="shared" si="12"/>
        <v>3119.875</v>
      </c>
      <c r="J18" s="28">
        <f t="shared" si="12"/>
        <v>2846.875</v>
      </c>
      <c r="K18" s="28">
        <f t="shared" si="12"/>
        <v>3629.125</v>
      </c>
      <c r="L18" s="28">
        <f t="shared" si="12"/>
        <v>4608.25</v>
      </c>
      <c r="M18" s="28">
        <f t="shared" ref="M18" si="13">SUM(M13:M17)</f>
        <v>3442.75</v>
      </c>
      <c r="N18" s="28">
        <f t="shared" si="12"/>
        <v>3337.75</v>
      </c>
    </row>
    <row r="19" spans="1:16" s="34" customFormat="1" ht="12.75">
      <c r="A19" s="31" t="s">
        <v>78</v>
      </c>
      <c r="B19" s="32">
        <f>B18/(B6+B8+B10)</f>
        <v>1391.1458333333333</v>
      </c>
      <c r="C19" s="32">
        <f t="shared" ref="C19:N19" si="14">C18/(C6+C8+C10)</f>
        <v>737.08333333333337</v>
      </c>
      <c r="D19" s="32">
        <f t="shared" si="14"/>
        <v>427.55208333333331</v>
      </c>
      <c r="E19" s="32">
        <f t="shared" si="14"/>
        <v>540.20833333333337</v>
      </c>
      <c r="F19" s="32">
        <f t="shared" si="14"/>
        <v>264.14583333333331</v>
      </c>
      <c r="G19" s="32">
        <f t="shared" si="14"/>
        <v>264.14583333333331</v>
      </c>
      <c r="H19" s="32">
        <f t="shared" si="14"/>
        <v>264.14583333333331</v>
      </c>
      <c r="I19" s="32">
        <f t="shared" si="14"/>
        <v>259.98958333333331</v>
      </c>
      <c r="J19" s="32">
        <f t="shared" si="14"/>
        <v>237.23958333333334</v>
      </c>
      <c r="K19" s="32">
        <f t="shared" si="14"/>
        <v>302.42708333333331</v>
      </c>
      <c r="L19" s="32">
        <f t="shared" si="14"/>
        <v>384.02083333333331</v>
      </c>
      <c r="M19" s="32">
        <f t="shared" si="14"/>
        <v>286.89583333333331</v>
      </c>
      <c r="N19" s="32">
        <f t="shared" si="14"/>
        <v>208.609375</v>
      </c>
      <c r="O19" s="33"/>
    </row>
    <row r="20" spans="1:16">
      <c r="A20" s="35" t="s">
        <v>79</v>
      </c>
      <c r="B20" s="36">
        <f>B19/$D$2</f>
        <v>959.41091954022988</v>
      </c>
      <c r="C20" s="36">
        <f t="shared" ref="C20:N20" si="15">C19/$D$2</f>
        <v>508.33333333333337</v>
      </c>
      <c r="D20" s="36">
        <f t="shared" si="15"/>
        <v>294.86350574712645</v>
      </c>
      <c r="E20" s="36">
        <f t="shared" si="15"/>
        <v>372.55747126436785</v>
      </c>
      <c r="F20" s="36">
        <f t="shared" si="15"/>
        <v>182.16954022988506</v>
      </c>
      <c r="G20" s="36">
        <f t="shared" si="15"/>
        <v>182.16954022988506</v>
      </c>
      <c r="H20" s="36">
        <f t="shared" si="15"/>
        <v>182.16954022988506</v>
      </c>
      <c r="I20" s="36">
        <f t="shared" si="15"/>
        <v>179.30316091954023</v>
      </c>
      <c r="J20" s="36">
        <f t="shared" si="15"/>
        <v>163.61350574712645</v>
      </c>
      <c r="K20" s="36">
        <f t="shared" si="15"/>
        <v>208.57040229885058</v>
      </c>
      <c r="L20" s="36">
        <f t="shared" si="15"/>
        <v>264.84195402298849</v>
      </c>
      <c r="M20" s="36">
        <f t="shared" si="15"/>
        <v>197.85919540229884</v>
      </c>
      <c r="N20" s="36">
        <f t="shared" si="15"/>
        <v>143.86853448275863</v>
      </c>
    </row>
    <row r="21" spans="1:16">
      <c r="C21" s="28"/>
      <c r="D21" s="28"/>
      <c r="E21" s="28"/>
      <c r="F21" s="28"/>
      <c r="G21" s="28"/>
      <c r="H21" s="28"/>
      <c r="I21" s="28"/>
      <c r="J21" s="28"/>
      <c r="L21" s="28"/>
      <c r="M21" s="28"/>
      <c r="N21" s="28"/>
    </row>
    <row r="22" spans="1:16">
      <c r="A22" t="s">
        <v>98</v>
      </c>
      <c r="C22" s="28">
        <v>20</v>
      </c>
      <c r="D22" s="28">
        <v>10</v>
      </c>
      <c r="E22" s="28">
        <v>20</v>
      </c>
      <c r="F22" s="28">
        <v>5</v>
      </c>
      <c r="G22" s="102">
        <v>5</v>
      </c>
      <c r="H22" s="28">
        <v>5</v>
      </c>
      <c r="I22" s="28">
        <v>5</v>
      </c>
      <c r="J22" s="28">
        <v>5</v>
      </c>
      <c r="K22" s="28">
        <v>5</v>
      </c>
      <c r="L22" s="28">
        <v>5</v>
      </c>
      <c r="M22" s="102">
        <v>5</v>
      </c>
      <c r="N22" s="28">
        <v>20</v>
      </c>
      <c r="O22" s="37">
        <f>SUM(C22:N22)</f>
        <v>110</v>
      </c>
    </row>
    <row r="23" spans="1:16">
      <c r="A23" t="s">
        <v>99</v>
      </c>
      <c r="C23" s="38"/>
      <c r="D23" s="28"/>
      <c r="E23" s="28"/>
      <c r="F23" s="28">
        <v>22</v>
      </c>
      <c r="G23" s="28">
        <v>22</v>
      </c>
      <c r="H23" s="28">
        <v>22</v>
      </c>
      <c r="I23" s="28">
        <v>22</v>
      </c>
      <c r="J23" s="28">
        <v>22</v>
      </c>
      <c r="K23" s="28">
        <v>22</v>
      </c>
      <c r="L23" s="28"/>
      <c r="M23" s="28">
        <v>22</v>
      </c>
      <c r="N23" s="28"/>
      <c r="O23" s="37">
        <f t="shared" ref="O23:O25" si="16">SUM(C23:N23)</f>
        <v>154</v>
      </c>
    </row>
    <row r="24" spans="1:16">
      <c r="A24" t="s">
        <v>100</v>
      </c>
      <c r="C24" s="38"/>
      <c r="D24" s="28">
        <v>11</v>
      </c>
      <c r="E24" s="28">
        <v>11</v>
      </c>
      <c r="F24" s="28">
        <v>11</v>
      </c>
      <c r="G24" s="28">
        <v>11</v>
      </c>
      <c r="H24" s="28">
        <v>11</v>
      </c>
      <c r="I24" s="28">
        <v>11</v>
      </c>
      <c r="J24" s="28">
        <v>11</v>
      </c>
      <c r="K24" s="28">
        <v>11</v>
      </c>
      <c r="L24" s="28"/>
      <c r="M24" s="28">
        <v>11</v>
      </c>
      <c r="N24" s="28"/>
      <c r="O24" s="37">
        <f t="shared" si="16"/>
        <v>99</v>
      </c>
    </row>
    <row r="25" spans="1:16">
      <c r="A25" t="s">
        <v>101</v>
      </c>
      <c r="C25" s="38"/>
      <c r="D25" s="28">
        <v>25</v>
      </c>
      <c r="E25" s="28">
        <v>20</v>
      </c>
      <c r="F25" s="28">
        <v>20</v>
      </c>
      <c r="G25" s="28">
        <v>20</v>
      </c>
      <c r="H25" s="28">
        <v>20</v>
      </c>
      <c r="I25" s="28">
        <v>20</v>
      </c>
      <c r="J25" s="28">
        <v>20</v>
      </c>
      <c r="K25" s="28">
        <v>20</v>
      </c>
      <c r="L25" s="28"/>
      <c r="M25" s="28">
        <v>20</v>
      </c>
      <c r="N25" s="28"/>
      <c r="O25" s="37">
        <f t="shared" si="16"/>
        <v>185</v>
      </c>
      <c r="P25" s="37">
        <f>SUM(O23:O25)</f>
        <v>438</v>
      </c>
    </row>
    <row r="26" spans="1:16">
      <c r="M26" s="37">
        <f>SUM(M22:M25)</f>
        <v>58</v>
      </c>
      <c r="O26" s="37"/>
    </row>
    <row r="27" spans="1:16">
      <c r="B27">
        <v>15</v>
      </c>
      <c r="C27">
        <f>B27</f>
        <v>15</v>
      </c>
      <c r="D27">
        <f t="shared" ref="D27:F27" si="17">C27</f>
        <v>15</v>
      </c>
      <c r="E27">
        <f t="shared" si="17"/>
        <v>15</v>
      </c>
      <c r="F27">
        <f t="shared" si="17"/>
        <v>15</v>
      </c>
      <c r="L27" s="37"/>
      <c r="M27" s="37"/>
      <c r="N27" s="37"/>
      <c r="O27" s="37"/>
    </row>
    <row r="28" spans="1:16">
      <c r="A28" t="s">
        <v>118</v>
      </c>
      <c r="B28" s="28">
        <f>B19/B27</f>
        <v>92.743055555555557</v>
      </c>
      <c r="C28" s="28">
        <f t="shared" ref="C28:F28" si="18">C19/C27</f>
        <v>49.138888888888893</v>
      </c>
      <c r="D28" s="28">
        <f t="shared" si="18"/>
        <v>28.503472222222221</v>
      </c>
      <c r="E28" s="28">
        <f t="shared" si="18"/>
        <v>36.013888888888893</v>
      </c>
      <c r="F28" s="28">
        <f t="shared" si="18"/>
        <v>17.609722222222221</v>
      </c>
      <c r="G28" s="28"/>
      <c r="H28" s="28"/>
      <c r="I28" s="28"/>
      <c r="J28" s="28"/>
      <c r="K28" s="28"/>
    </row>
    <row r="29" spans="1:16">
      <c r="A29" t="s">
        <v>119</v>
      </c>
      <c r="B29">
        <v>100</v>
      </c>
      <c r="C29">
        <v>50</v>
      </c>
      <c r="D29">
        <v>35</v>
      </c>
      <c r="E29">
        <v>35</v>
      </c>
      <c r="F29">
        <v>20</v>
      </c>
    </row>
    <row r="30" spans="1:16">
      <c r="A30" t="s">
        <v>122</v>
      </c>
    </row>
    <row r="31" spans="1:16">
      <c r="A31" t="s">
        <v>120</v>
      </c>
      <c r="B31">
        <f>B29*2</f>
        <v>200</v>
      </c>
      <c r="C31">
        <f t="shared" ref="C31:F31" si="19">C29*2</f>
        <v>100</v>
      </c>
      <c r="D31">
        <f t="shared" si="19"/>
        <v>70</v>
      </c>
      <c r="E31">
        <f t="shared" si="19"/>
        <v>70</v>
      </c>
      <c r="F31">
        <f t="shared" si="19"/>
        <v>40</v>
      </c>
    </row>
    <row r="32" spans="1:16">
      <c r="A32" t="s">
        <v>121</v>
      </c>
      <c r="B32" s="172">
        <f t="shared" ref="B32:E32" si="20">B19*2</f>
        <v>2782.2916666666665</v>
      </c>
      <c r="C32" s="172">
        <f t="shared" si="20"/>
        <v>1474.1666666666667</v>
      </c>
      <c r="D32" s="172">
        <f t="shared" si="20"/>
        <v>855.10416666666663</v>
      </c>
      <c r="E32" s="172">
        <f t="shared" si="20"/>
        <v>1080.4166666666667</v>
      </c>
      <c r="F32" s="172">
        <f>F19*2</f>
        <v>528.29166666666663</v>
      </c>
      <c r="O32" s="37">
        <f>O25+O23</f>
        <v>339</v>
      </c>
    </row>
    <row r="33" spans="2:15">
      <c r="B33">
        <v>2800</v>
      </c>
      <c r="C33">
        <v>1600</v>
      </c>
      <c r="D33">
        <v>850</v>
      </c>
      <c r="E33">
        <v>1050</v>
      </c>
      <c r="F33">
        <v>520</v>
      </c>
      <c r="O33" s="39">
        <f>O32*18/1.4</f>
        <v>4358.5714285714284</v>
      </c>
    </row>
    <row r="34" spans="2:15">
      <c r="B34">
        <v>2800</v>
      </c>
      <c r="D34">
        <v>800</v>
      </c>
      <c r="E34">
        <v>1000</v>
      </c>
      <c r="F34">
        <v>500</v>
      </c>
    </row>
    <row r="35" spans="2:15">
      <c r="B35">
        <v>1</v>
      </c>
      <c r="D35">
        <v>2</v>
      </c>
      <c r="E35">
        <v>2</v>
      </c>
      <c r="F35">
        <v>7</v>
      </c>
    </row>
    <row r="36" spans="2:15">
      <c r="B36">
        <f>B34*B35</f>
        <v>2800</v>
      </c>
      <c r="C36">
        <f t="shared" ref="C36:F36" si="21">C34*C35</f>
        <v>0</v>
      </c>
      <c r="D36">
        <f t="shared" si="21"/>
        <v>1600</v>
      </c>
      <c r="E36">
        <f t="shared" si="21"/>
        <v>2000</v>
      </c>
      <c r="F36">
        <f t="shared" si="21"/>
        <v>3500</v>
      </c>
    </row>
    <row r="37" spans="2:15">
      <c r="F37">
        <f>SUM(B36:F36)</f>
        <v>9900</v>
      </c>
      <c r="G37">
        <v>12</v>
      </c>
      <c r="H37">
        <f>F37*G37</f>
        <v>118800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31"/>
  <sheetViews>
    <sheetView workbookViewId="0">
      <selection activeCell="A24" sqref="A24"/>
    </sheetView>
  </sheetViews>
  <sheetFormatPr defaultRowHeight="15"/>
  <cols>
    <col min="1" max="1" width="57.42578125" customWidth="1"/>
    <col min="2" max="9" width="16.5703125" customWidth="1"/>
    <col min="10" max="10" width="14.5703125" customWidth="1"/>
    <col min="11" max="12" width="10.5703125" bestFit="1" customWidth="1"/>
  </cols>
  <sheetData>
    <row r="3" spans="1:11">
      <c r="B3" t="s">
        <v>160</v>
      </c>
    </row>
    <row r="4" spans="1:11">
      <c r="B4" s="136" t="s">
        <v>137</v>
      </c>
      <c r="C4" s="136" t="s">
        <v>170</v>
      </c>
      <c r="D4" s="136" t="s">
        <v>138</v>
      </c>
      <c r="E4" s="136" t="s">
        <v>139</v>
      </c>
      <c r="F4" s="136" t="s">
        <v>141</v>
      </c>
      <c r="G4" s="136" t="s">
        <v>117</v>
      </c>
      <c r="H4" s="136" t="s">
        <v>142</v>
      </c>
      <c r="I4" s="136" t="s">
        <v>153</v>
      </c>
    </row>
    <row r="5" spans="1:11">
      <c r="A5" t="s">
        <v>140</v>
      </c>
      <c r="B5" s="182">
        <v>1400</v>
      </c>
      <c r="C5" s="182">
        <v>700</v>
      </c>
      <c r="D5" s="182">
        <v>550</v>
      </c>
      <c r="E5" s="182">
        <v>400</v>
      </c>
      <c r="F5" s="182">
        <v>270</v>
      </c>
      <c r="G5" s="182">
        <v>290</v>
      </c>
      <c r="H5" s="182">
        <v>240</v>
      </c>
      <c r="I5" s="182">
        <v>240</v>
      </c>
      <c r="J5" s="101"/>
      <c r="K5" s="101"/>
    </row>
    <row r="6" spans="1:11">
      <c r="A6" s="190" t="s">
        <v>154</v>
      </c>
      <c r="B6" s="191">
        <f>B5/20</f>
        <v>70</v>
      </c>
      <c r="C6" s="191">
        <f>C5/20</f>
        <v>35</v>
      </c>
      <c r="D6" s="191">
        <f t="shared" ref="D6:I6" si="0">D5/20</f>
        <v>27.5</v>
      </c>
      <c r="E6" s="191">
        <f t="shared" si="0"/>
        <v>20</v>
      </c>
      <c r="F6" s="191">
        <f t="shared" si="0"/>
        <v>13.5</v>
      </c>
      <c r="G6" s="191">
        <f t="shared" si="0"/>
        <v>14.5</v>
      </c>
      <c r="H6" s="191">
        <f t="shared" si="0"/>
        <v>12</v>
      </c>
      <c r="I6" s="191">
        <f t="shared" si="0"/>
        <v>12</v>
      </c>
      <c r="J6" s="101"/>
      <c r="K6" s="101"/>
    </row>
    <row r="7" spans="1:11" ht="30">
      <c r="A7" s="181" t="s">
        <v>152</v>
      </c>
      <c r="B7" s="183">
        <v>0.4</v>
      </c>
      <c r="C7" s="183">
        <v>0.75</v>
      </c>
      <c r="D7" s="183">
        <v>0.75</v>
      </c>
      <c r="E7" s="183">
        <v>1</v>
      </c>
      <c r="F7" s="183">
        <v>1</v>
      </c>
      <c r="G7" s="183">
        <v>0.5</v>
      </c>
      <c r="H7" s="183">
        <v>1</v>
      </c>
      <c r="I7" s="183">
        <v>0.4</v>
      </c>
      <c r="J7" s="101"/>
      <c r="K7" s="101"/>
    </row>
    <row r="8" spans="1:11">
      <c r="A8" t="s">
        <v>156</v>
      </c>
      <c r="B8" s="182">
        <f t="shared" ref="B8:I8" si="1">B5*B7</f>
        <v>560</v>
      </c>
      <c r="C8" s="182">
        <f t="shared" si="1"/>
        <v>525</v>
      </c>
      <c r="D8" s="182">
        <f t="shared" si="1"/>
        <v>412.5</v>
      </c>
      <c r="E8" s="182">
        <f t="shared" si="1"/>
        <v>400</v>
      </c>
      <c r="F8" s="182">
        <f t="shared" si="1"/>
        <v>270</v>
      </c>
      <c r="G8" s="182">
        <f t="shared" si="1"/>
        <v>145</v>
      </c>
      <c r="H8" s="182">
        <f t="shared" si="1"/>
        <v>240</v>
      </c>
      <c r="I8" s="182">
        <f t="shared" si="1"/>
        <v>96</v>
      </c>
      <c r="J8" s="101"/>
      <c r="K8" s="101"/>
    </row>
    <row r="9" spans="1:11">
      <c r="A9" s="186" t="s">
        <v>203</v>
      </c>
      <c r="B9" s="187">
        <f>B7*20</f>
        <v>8</v>
      </c>
      <c r="C9" s="187">
        <f>C7*20</f>
        <v>15</v>
      </c>
      <c r="D9" s="187">
        <f t="shared" ref="D9:I9" si="2">D7*20</f>
        <v>15</v>
      </c>
      <c r="E9" s="187">
        <f t="shared" si="2"/>
        <v>20</v>
      </c>
      <c r="F9" s="187">
        <f t="shared" si="2"/>
        <v>20</v>
      </c>
      <c r="G9" s="187">
        <f t="shared" ref="G9" si="3">G7*20</f>
        <v>10</v>
      </c>
      <c r="H9" s="187">
        <f t="shared" si="2"/>
        <v>20</v>
      </c>
      <c r="I9" s="187">
        <f t="shared" si="2"/>
        <v>8</v>
      </c>
      <c r="J9" s="101"/>
      <c r="K9" s="101"/>
    </row>
    <row r="10" spans="1:11">
      <c r="A10" s="188" t="s">
        <v>144</v>
      </c>
      <c r="B10" s="189">
        <v>5</v>
      </c>
      <c r="C10" s="189">
        <v>10</v>
      </c>
      <c r="D10" s="189">
        <v>10</v>
      </c>
      <c r="E10" s="189">
        <v>12</v>
      </c>
      <c r="F10" s="189">
        <v>12</v>
      </c>
      <c r="G10" s="189">
        <v>6</v>
      </c>
      <c r="H10" s="189">
        <v>12</v>
      </c>
      <c r="I10" s="189">
        <v>5</v>
      </c>
      <c r="J10" s="101"/>
      <c r="K10" s="101"/>
    </row>
    <row r="11" spans="1:11">
      <c r="A11" s="186" t="s">
        <v>148</v>
      </c>
      <c r="B11" s="187">
        <f>B10*12</f>
        <v>60</v>
      </c>
      <c r="C11" s="187">
        <f>C10*12</f>
        <v>120</v>
      </c>
      <c r="D11" s="187">
        <f t="shared" ref="D11:I11" si="4">D10*12</f>
        <v>120</v>
      </c>
      <c r="E11" s="187">
        <f t="shared" si="4"/>
        <v>144</v>
      </c>
      <c r="F11" s="187">
        <f t="shared" si="4"/>
        <v>144</v>
      </c>
      <c r="G11" s="187">
        <f t="shared" si="4"/>
        <v>72</v>
      </c>
      <c r="H11" s="187">
        <f t="shared" si="4"/>
        <v>144</v>
      </c>
      <c r="I11" s="187">
        <f t="shared" si="4"/>
        <v>60</v>
      </c>
      <c r="J11" s="101"/>
      <c r="K11" s="101"/>
    </row>
    <row r="12" spans="1:11">
      <c r="A12" s="190" t="s">
        <v>155</v>
      </c>
      <c r="B12" s="191">
        <f t="shared" ref="B12:I12" si="5">B8/B10</f>
        <v>112</v>
      </c>
      <c r="C12" s="191">
        <f t="shared" si="5"/>
        <v>52.5</v>
      </c>
      <c r="D12" s="191">
        <f t="shared" si="5"/>
        <v>41.25</v>
      </c>
      <c r="E12" s="191">
        <f t="shared" si="5"/>
        <v>33.333333333333336</v>
      </c>
      <c r="F12" s="191">
        <f t="shared" si="5"/>
        <v>22.5</v>
      </c>
      <c r="G12" s="191">
        <f t="shared" si="5"/>
        <v>24.166666666666668</v>
      </c>
      <c r="H12" s="191">
        <f t="shared" si="5"/>
        <v>20</v>
      </c>
      <c r="I12" s="191">
        <f t="shared" si="5"/>
        <v>19.2</v>
      </c>
      <c r="J12" s="101"/>
      <c r="K12" s="101"/>
    </row>
    <row r="13" spans="1:11">
      <c r="A13" s="180" t="s">
        <v>151</v>
      </c>
      <c r="B13" s="183">
        <f>B14/B12-100%</f>
        <v>0.60714285714285721</v>
      </c>
      <c r="C13" s="183">
        <f>C14/C12-100%</f>
        <v>0.90476190476190466</v>
      </c>
      <c r="D13" s="183">
        <f t="shared" ref="D13:I13" si="6">D14/D12-100%</f>
        <v>1.1818181818181817</v>
      </c>
      <c r="E13" s="183">
        <f t="shared" si="6"/>
        <v>1.0999999999999996</v>
      </c>
      <c r="F13" s="183">
        <f t="shared" si="6"/>
        <v>1</v>
      </c>
      <c r="G13" s="183">
        <f t="shared" si="6"/>
        <v>0.86206896551724133</v>
      </c>
      <c r="H13" s="183">
        <f t="shared" si="6"/>
        <v>1</v>
      </c>
      <c r="I13" s="183">
        <f t="shared" si="6"/>
        <v>1.0833333333333335</v>
      </c>
      <c r="J13" s="101"/>
      <c r="K13" s="101"/>
    </row>
    <row r="14" spans="1:11">
      <c r="A14" s="192" t="s">
        <v>143</v>
      </c>
      <c r="B14" s="193">
        <v>180</v>
      </c>
      <c r="C14" s="193">
        <v>100</v>
      </c>
      <c r="D14" s="193">
        <v>90</v>
      </c>
      <c r="E14" s="193">
        <v>70</v>
      </c>
      <c r="F14" s="193">
        <v>45</v>
      </c>
      <c r="G14" s="193">
        <v>45</v>
      </c>
      <c r="H14" s="193">
        <v>40</v>
      </c>
      <c r="I14" s="193">
        <v>40</v>
      </c>
      <c r="J14" s="101"/>
      <c r="K14" s="101"/>
    </row>
    <row r="15" spans="1:11">
      <c r="A15" s="179" t="s">
        <v>171</v>
      </c>
      <c r="B15" s="184">
        <v>7</v>
      </c>
      <c r="C15" s="184">
        <v>12</v>
      </c>
      <c r="D15" s="184">
        <v>12</v>
      </c>
      <c r="E15" s="184">
        <v>14</v>
      </c>
      <c r="F15" s="184">
        <v>14</v>
      </c>
      <c r="G15" s="184">
        <v>7</v>
      </c>
      <c r="H15" s="184">
        <v>14</v>
      </c>
      <c r="I15" s="184">
        <v>5</v>
      </c>
      <c r="J15" s="101"/>
      <c r="K15" s="101"/>
    </row>
    <row r="16" spans="1:11">
      <c r="A16" s="214" t="s">
        <v>146</v>
      </c>
      <c r="B16" s="215">
        <f>B15*B14</f>
        <v>1260</v>
      </c>
      <c r="C16" s="215">
        <f>C15*C14</f>
        <v>1200</v>
      </c>
      <c r="D16" s="215">
        <f t="shared" ref="D16:I16" si="7">D15*D14</f>
        <v>1080</v>
      </c>
      <c r="E16" s="215">
        <f t="shared" si="7"/>
        <v>980</v>
      </c>
      <c r="F16" s="215">
        <f t="shared" si="7"/>
        <v>630</v>
      </c>
      <c r="G16" s="215">
        <f t="shared" si="7"/>
        <v>315</v>
      </c>
      <c r="H16" s="215">
        <f t="shared" si="7"/>
        <v>560</v>
      </c>
      <c r="I16" s="215">
        <f t="shared" si="7"/>
        <v>200</v>
      </c>
      <c r="J16" s="101"/>
      <c r="K16" s="101"/>
    </row>
    <row r="17" spans="1:14">
      <c r="A17" s="179" t="s">
        <v>165</v>
      </c>
      <c r="B17" s="196">
        <f>B9-1</f>
        <v>7</v>
      </c>
      <c r="C17" s="196">
        <f t="shared" ref="C17:I17" si="8">C9-1</f>
        <v>14</v>
      </c>
      <c r="D17" s="196">
        <f t="shared" si="8"/>
        <v>14</v>
      </c>
      <c r="E17" s="196">
        <f t="shared" si="8"/>
        <v>19</v>
      </c>
      <c r="F17" s="196">
        <f t="shared" si="8"/>
        <v>19</v>
      </c>
      <c r="G17" s="196">
        <f t="shared" ref="G17" si="9">G9-1</f>
        <v>9</v>
      </c>
      <c r="H17" s="196">
        <f t="shared" si="8"/>
        <v>19</v>
      </c>
      <c r="I17" s="196">
        <f t="shared" si="8"/>
        <v>7</v>
      </c>
      <c r="J17" s="101"/>
      <c r="K17" s="101"/>
    </row>
    <row r="18" spans="1:14">
      <c r="A18" s="179" t="s">
        <v>147</v>
      </c>
      <c r="B18" s="185">
        <f>B16/B17</f>
        <v>180</v>
      </c>
      <c r="C18" s="185">
        <f t="shared" ref="C18:I18" si="10">C16/C17</f>
        <v>85.714285714285708</v>
      </c>
      <c r="D18" s="185">
        <f t="shared" si="10"/>
        <v>77.142857142857139</v>
      </c>
      <c r="E18" s="185">
        <f t="shared" si="10"/>
        <v>51.578947368421055</v>
      </c>
      <c r="F18" s="185">
        <f t="shared" si="10"/>
        <v>33.157894736842103</v>
      </c>
      <c r="G18" s="185">
        <f t="shared" si="10"/>
        <v>35</v>
      </c>
      <c r="H18" s="185">
        <f t="shared" si="10"/>
        <v>29.473684210526315</v>
      </c>
      <c r="I18" s="185">
        <f t="shared" si="10"/>
        <v>28.571428571428573</v>
      </c>
      <c r="J18" s="101"/>
      <c r="K18" s="101"/>
    </row>
    <row r="19" spans="1:14">
      <c r="A19" s="199" t="s">
        <v>149</v>
      </c>
      <c r="B19" s="200">
        <f>B10*B14</f>
        <v>900</v>
      </c>
      <c r="C19" s="200">
        <f t="shared" ref="C19:I19" si="11">C10*C14</f>
        <v>1000</v>
      </c>
      <c r="D19" s="200">
        <f t="shared" si="11"/>
        <v>900</v>
      </c>
      <c r="E19" s="200">
        <f t="shared" si="11"/>
        <v>840</v>
      </c>
      <c r="F19" s="200">
        <f t="shared" si="11"/>
        <v>540</v>
      </c>
      <c r="G19" s="200">
        <f t="shared" si="11"/>
        <v>270</v>
      </c>
      <c r="H19" s="200">
        <f t="shared" si="11"/>
        <v>480</v>
      </c>
      <c r="I19" s="200">
        <f t="shared" si="11"/>
        <v>200</v>
      </c>
      <c r="J19" s="194" t="s">
        <v>111</v>
      </c>
      <c r="K19" s="182"/>
    </row>
    <row r="20" spans="1:14">
      <c r="A20" s="197" t="s">
        <v>166</v>
      </c>
      <c r="B20" s="198">
        <f>B19-B8</f>
        <v>340</v>
      </c>
      <c r="C20" s="198">
        <f t="shared" ref="C20:I20" si="12">C19-C8</f>
        <v>475</v>
      </c>
      <c r="D20" s="198">
        <f t="shared" si="12"/>
        <v>487.5</v>
      </c>
      <c r="E20" s="198">
        <f t="shared" si="12"/>
        <v>440</v>
      </c>
      <c r="F20" s="198">
        <f t="shared" si="12"/>
        <v>270</v>
      </c>
      <c r="G20" s="198">
        <f t="shared" si="12"/>
        <v>125</v>
      </c>
      <c r="H20" s="198">
        <f t="shared" si="12"/>
        <v>240</v>
      </c>
      <c r="I20" s="198">
        <f t="shared" si="12"/>
        <v>104</v>
      </c>
      <c r="J20" s="194"/>
      <c r="K20" s="182"/>
    </row>
    <row r="21" spans="1:14">
      <c r="A21" s="180" t="s">
        <v>145</v>
      </c>
      <c r="B21" s="201">
        <v>1</v>
      </c>
      <c r="C21" s="201">
        <v>1</v>
      </c>
      <c r="D21" s="201">
        <v>1</v>
      </c>
      <c r="E21" s="201">
        <v>3</v>
      </c>
      <c r="F21" s="201">
        <v>6</v>
      </c>
      <c r="G21" s="201">
        <v>1</v>
      </c>
      <c r="H21" s="201">
        <v>0</v>
      </c>
      <c r="I21" s="201">
        <v>1</v>
      </c>
      <c r="J21" s="182">
        <f>SUM(B21:I21)</f>
        <v>14</v>
      </c>
      <c r="K21" s="194" t="s">
        <v>161</v>
      </c>
    </row>
    <row r="22" spans="1:14">
      <c r="A22" s="199" t="s">
        <v>157</v>
      </c>
      <c r="B22" s="200">
        <f t="shared" ref="B22:I22" si="13">B14*B10*B21</f>
        <v>900</v>
      </c>
      <c r="C22" s="200">
        <f t="shared" si="13"/>
        <v>1000</v>
      </c>
      <c r="D22" s="200">
        <f t="shared" si="13"/>
        <v>900</v>
      </c>
      <c r="E22" s="200">
        <f t="shared" si="13"/>
        <v>2520</v>
      </c>
      <c r="F22" s="200">
        <f t="shared" si="13"/>
        <v>3240</v>
      </c>
      <c r="G22" s="200">
        <f t="shared" si="13"/>
        <v>270</v>
      </c>
      <c r="H22" s="200">
        <f t="shared" si="13"/>
        <v>0</v>
      </c>
      <c r="I22" s="200">
        <f t="shared" si="13"/>
        <v>200</v>
      </c>
      <c r="J22" s="182">
        <f>SUM(B22:I22)</f>
        <v>9030</v>
      </c>
      <c r="K22" s="182">
        <f>J22*12</f>
        <v>108360</v>
      </c>
    </row>
    <row r="23" spans="1:14">
      <c r="A23" s="199" t="s">
        <v>158</v>
      </c>
      <c r="B23" s="200">
        <f>B8*B21</f>
        <v>560</v>
      </c>
      <c r="C23" s="200">
        <f t="shared" ref="C23:I23" si="14">C8*C21</f>
        <v>525</v>
      </c>
      <c r="D23" s="200">
        <f t="shared" si="14"/>
        <v>412.5</v>
      </c>
      <c r="E23" s="200">
        <f t="shared" si="14"/>
        <v>1200</v>
      </c>
      <c r="F23" s="200">
        <f t="shared" si="14"/>
        <v>1620</v>
      </c>
      <c r="G23" s="200">
        <f t="shared" ref="G23" si="15">G8*G21</f>
        <v>145</v>
      </c>
      <c r="H23" s="200">
        <f t="shared" si="14"/>
        <v>0</v>
      </c>
      <c r="I23" s="200">
        <f t="shared" si="14"/>
        <v>96</v>
      </c>
      <c r="J23" s="182">
        <f>SUM(B23:I23)</f>
        <v>4558.5</v>
      </c>
      <c r="K23" s="182">
        <f>J23*12</f>
        <v>54702</v>
      </c>
      <c r="L23" s="28">
        <f>'ISC Budget'!H7</f>
        <v>66811.3125</v>
      </c>
      <c r="M23" s="37">
        <f>L23-K23</f>
        <v>12109.3125</v>
      </c>
      <c r="N23" s="37"/>
    </row>
    <row r="24" spans="1:14">
      <c r="A24" s="199" t="s">
        <v>159</v>
      </c>
      <c r="B24" s="200">
        <f>B22-B23</f>
        <v>340</v>
      </c>
      <c r="C24" s="200">
        <f>C22-C23</f>
        <v>475</v>
      </c>
      <c r="D24" s="200">
        <f t="shared" ref="D24:I24" si="16">D22-D23</f>
        <v>487.5</v>
      </c>
      <c r="E24" s="200">
        <f t="shared" si="16"/>
        <v>1320</v>
      </c>
      <c r="F24" s="200">
        <f t="shared" si="16"/>
        <v>1620</v>
      </c>
      <c r="G24" s="200">
        <f t="shared" si="16"/>
        <v>125</v>
      </c>
      <c r="H24" s="200">
        <f t="shared" si="16"/>
        <v>0</v>
      </c>
      <c r="I24" s="200">
        <f t="shared" si="16"/>
        <v>104</v>
      </c>
      <c r="J24" s="182">
        <f>SUM(B24:I24)</f>
        <v>4471.5</v>
      </c>
      <c r="K24" s="182">
        <f>J24*12</f>
        <v>53658</v>
      </c>
    </row>
    <row r="25" spans="1:14">
      <c r="A25" s="197" t="s">
        <v>167</v>
      </c>
      <c r="B25" s="198">
        <f>B24*12</f>
        <v>4080</v>
      </c>
      <c r="C25" s="198">
        <f t="shared" ref="C25:I25" si="17">C24*12</f>
        <v>5700</v>
      </c>
      <c r="D25" s="198">
        <f t="shared" si="17"/>
        <v>5850</v>
      </c>
      <c r="E25" s="198">
        <f t="shared" si="17"/>
        <v>15840</v>
      </c>
      <c r="F25" s="198">
        <f t="shared" si="17"/>
        <v>19440</v>
      </c>
      <c r="G25" s="198">
        <f t="shared" si="17"/>
        <v>1500</v>
      </c>
      <c r="H25" s="198">
        <f t="shared" si="17"/>
        <v>0</v>
      </c>
      <c r="I25" s="198">
        <f t="shared" si="17"/>
        <v>1248</v>
      </c>
      <c r="J25" s="182">
        <f>SUM(B25:I25)</f>
        <v>53658</v>
      </c>
      <c r="K25" s="182"/>
      <c r="L25" s="30">
        <f>K24/K23</f>
        <v>0.9809147745969069</v>
      </c>
    </row>
    <row r="26" spans="1:14"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4">
      <c r="B27" s="182" t="s">
        <v>162</v>
      </c>
      <c r="C27" s="182" t="s">
        <v>150</v>
      </c>
      <c r="D27" s="182" t="s">
        <v>163</v>
      </c>
      <c r="E27" s="182"/>
      <c r="H27" s="182"/>
      <c r="I27" s="182"/>
      <c r="J27" s="182"/>
      <c r="K27" s="182"/>
    </row>
    <row r="28" spans="1:14">
      <c r="B28" s="182">
        <f>'ISC Budget'!G82</f>
        <v>102071.3125</v>
      </c>
      <c r="C28" s="182">
        <f>K22</f>
        <v>108360</v>
      </c>
      <c r="D28" s="195">
        <f>C28-B28</f>
        <v>6288.6875</v>
      </c>
      <c r="E28" s="195" t="b">
        <f>AND(D28&gt;0)</f>
        <v>1</v>
      </c>
      <c r="H28" s="182"/>
      <c r="I28" s="182"/>
      <c r="J28" s="182"/>
      <c r="K28" s="182"/>
    </row>
    <row r="29" spans="1:14"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4">
      <c r="B30" s="37"/>
      <c r="C30" s="37"/>
    </row>
    <row r="31" spans="1:14">
      <c r="B31" s="37"/>
      <c r="C31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4"/>
  <sheetViews>
    <sheetView topLeftCell="A17" workbookViewId="0">
      <selection activeCell="I38" sqref="I38"/>
    </sheetView>
  </sheetViews>
  <sheetFormatPr defaultRowHeight="15"/>
  <cols>
    <col min="1" max="1" width="35.7109375" customWidth="1"/>
    <col min="5" max="5" width="12.42578125" customWidth="1"/>
  </cols>
  <sheetData>
    <row r="1" spans="1:8" ht="23.25">
      <c r="A1" s="208" t="s">
        <v>173</v>
      </c>
    </row>
    <row r="2" spans="1:8" ht="15.75">
      <c r="A2" s="207" t="s">
        <v>199</v>
      </c>
    </row>
    <row r="3" spans="1:8" ht="15.75">
      <c r="A3" s="207" t="s">
        <v>200</v>
      </c>
    </row>
    <row r="4" spans="1:8" ht="15.75">
      <c r="A4" s="207" t="s">
        <v>201</v>
      </c>
    </row>
    <row r="6" spans="1:8">
      <c r="A6" t="s">
        <v>178</v>
      </c>
      <c r="B6" t="s">
        <v>179</v>
      </c>
      <c r="C6" t="s">
        <v>61</v>
      </c>
      <c r="D6" t="s">
        <v>62</v>
      </c>
      <c r="E6" t="s">
        <v>180</v>
      </c>
      <c r="F6" t="s">
        <v>64</v>
      </c>
      <c r="G6" t="s">
        <v>65</v>
      </c>
      <c r="H6" t="s">
        <v>91</v>
      </c>
    </row>
    <row r="7" spans="1:8">
      <c r="A7" s="202" t="s">
        <v>175</v>
      </c>
      <c r="B7" s="202"/>
      <c r="C7" s="202"/>
      <c r="D7" s="202"/>
      <c r="E7" s="202"/>
      <c r="F7" s="202"/>
      <c r="G7" s="202"/>
      <c r="H7" s="202">
        <f>SUM(F9:F14)</f>
        <v>8300</v>
      </c>
    </row>
    <row r="8" spans="1:8">
      <c r="A8" s="213" t="s">
        <v>185</v>
      </c>
      <c r="B8" s="205"/>
      <c r="C8" s="205"/>
      <c r="D8" s="205"/>
      <c r="E8" s="205"/>
      <c r="F8" s="205"/>
      <c r="G8" s="205"/>
      <c r="H8" s="205"/>
    </row>
    <row r="9" spans="1:8">
      <c r="A9" t="s">
        <v>137</v>
      </c>
      <c r="B9" s="171">
        <v>20</v>
      </c>
      <c r="C9" s="171" t="s">
        <v>181</v>
      </c>
      <c r="D9" s="209">
        <v>120</v>
      </c>
      <c r="E9" s="171">
        <v>1</v>
      </c>
      <c r="F9">
        <f>B9*D9*E9</f>
        <v>2400</v>
      </c>
    </row>
    <row r="10" spans="1:8">
      <c r="A10" t="s">
        <v>164</v>
      </c>
      <c r="B10" s="171">
        <v>0</v>
      </c>
      <c r="C10" s="171" t="s">
        <v>181</v>
      </c>
      <c r="D10" s="209">
        <f>'Business plan'!C$14</f>
        <v>100</v>
      </c>
      <c r="E10" s="171">
        <v>1</v>
      </c>
      <c r="F10">
        <f t="shared" ref="F10:F14" si="0">B10*D10*E10</f>
        <v>0</v>
      </c>
    </row>
    <row r="11" spans="1:8">
      <c r="A11" t="s">
        <v>138</v>
      </c>
      <c r="B11" s="171">
        <v>20</v>
      </c>
      <c r="C11" s="171" t="s">
        <v>181</v>
      </c>
      <c r="D11" s="209">
        <v>70</v>
      </c>
      <c r="E11" s="171">
        <v>1</v>
      </c>
      <c r="F11">
        <f t="shared" si="0"/>
        <v>1400</v>
      </c>
    </row>
    <row r="12" spans="1:8">
      <c r="A12" t="s">
        <v>139</v>
      </c>
      <c r="B12" s="171">
        <v>15</v>
      </c>
      <c r="C12" s="171" t="s">
        <v>181</v>
      </c>
      <c r="D12" s="209">
        <f>'Business plan'!E$14</f>
        <v>70</v>
      </c>
      <c r="E12" s="171">
        <v>1</v>
      </c>
      <c r="F12">
        <f t="shared" si="0"/>
        <v>1050</v>
      </c>
    </row>
    <row r="13" spans="1:8">
      <c r="A13" t="s">
        <v>176</v>
      </c>
      <c r="B13" s="171">
        <v>3</v>
      </c>
      <c r="C13" s="171" t="s">
        <v>66</v>
      </c>
      <c r="D13" s="209">
        <v>500</v>
      </c>
      <c r="E13" s="171">
        <v>2</v>
      </c>
      <c r="F13">
        <f t="shared" si="0"/>
        <v>3000</v>
      </c>
    </row>
    <row r="14" spans="1:8">
      <c r="A14" t="s">
        <v>177</v>
      </c>
      <c r="B14" s="171">
        <v>1</v>
      </c>
      <c r="C14" s="171" t="s">
        <v>66</v>
      </c>
      <c r="D14" s="209">
        <v>450</v>
      </c>
      <c r="E14" s="171">
        <v>1</v>
      </c>
      <c r="F14">
        <f t="shared" si="0"/>
        <v>450</v>
      </c>
    </row>
    <row r="15" spans="1:8">
      <c r="A15" s="206" t="s">
        <v>186</v>
      </c>
      <c r="B15" s="206"/>
      <c r="C15" s="206"/>
      <c r="D15" s="206"/>
      <c r="E15" s="206"/>
      <c r="F15" s="206"/>
      <c r="G15" s="206"/>
      <c r="H15" s="206"/>
    </row>
    <row r="18" spans="1:8">
      <c r="A18" s="202" t="s">
        <v>168</v>
      </c>
      <c r="B18" s="202"/>
      <c r="C18" s="202"/>
      <c r="D18" s="202"/>
      <c r="E18" s="202"/>
      <c r="F18" s="202"/>
      <c r="G18" s="202"/>
      <c r="H18" s="202">
        <v>10000</v>
      </c>
    </row>
    <row r="19" spans="1:8" s="210" customFormat="1">
      <c r="A19" s="210" t="s">
        <v>33</v>
      </c>
    </row>
    <row r="20" spans="1:8">
      <c r="A20" t="s">
        <v>193</v>
      </c>
    </row>
    <row r="21" spans="1:8">
      <c r="A21" t="s">
        <v>187</v>
      </c>
    </row>
    <row r="22" spans="1:8">
      <c r="A22" t="s">
        <v>188</v>
      </c>
    </row>
    <row r="23" spans="1:8">
      <c r="A23" t="s">
        <v>191</v>
      </c>
    </row>
    <row r="24" spans="1:8">
      <c r="A24" t="s">
        <v>190</v>
      </c>
    </row>
    <row r="25" spans="1:8">
      <c r="A25" t="s">
        <v>192</v>
      </c>
    </row>
    <row r="26" spans="1:8">
      <c r="A26" t="s">
        <v>194</v>
      </c>
    </row>
    <row r="27" spans="1:8">
      <c r="A27" t="s">
        <v>195</v>
      </c>
    </row>
    <row r="28" spans="1:8">
      <c r="A28" t="s">
        <v>197</v>
      </c>
    </row>
    <row r="29" spans="1:8">
      <c r="A29" s="202" t="s">
        <v>174</v>
      </c>
      <c r="B29" s="202"/>
      <c r="C29" s="202"/>
      <c r="D29" s="202"/>
      <c r="E29" s="202"/>
      <c r="F29" s="202"/>
      <c r="G29" s="202"/>
      <c r="H29" s="202">
        <f>SUM(F31:F35)</f>
        <v>2820</v>
      </c>
    </row>
    <row r="30" spans="1:8">
      <c r="A30" t="s">
        <v>196</v>
      </c>
      <c r="B30">
        <v>2</v>
      </c>
      <c r="C30" t="s">
        <v>183</v>
      </c>
      <c r="D30">
        <v>500</v>
      </c>
      <c r="F30">
        <f>B30*D30</f>
        <v>1000</v>
      </c>
    </row>
    <row r="31" spans="1:8">
      <c r="A31" t="s">
        <v>110</v>
      </c>
      <c r="B31">
        <v>3</v>
      </c>
      <c r="C31" t="s">
        <v>182</v>
      </c>
      <c r="D31">
        <v>300</v>
      </c>
      <c r="F31">
        <f>B31*D31</f>
        <v>900</v>
      </c>
    </row>
    <row r="32" spans="1:8">
      <c r="A32" t="s">
        <v>109</v>
      </c>
    </row>
    <row r="33" spans="1:10">
      <c r="A33" t="s">
        <v>189</v>
      </c>
    </row>
    <row r="34" spans="1:10">
      <c r="A34" t="s">
        <v>202</v>
      </c>
    </row>
    <row r="35" spans="1:10">
      <c r="A35" t="s">
        <v>184</v>
      </c>
      <c r="B35" s="178">
        <v>0.1</v>
      </c>
      <c r="D35">
        <f>SUM(H7,H18,F31:F31)</f>
        <v>19200</v>
      </c>
      <c r="F35">
        <f>B35*D35</f>
        <v>1920</v>
      </c>
    </row>
    <row r="36" spans="1:10">
      <c r="A36" s="203" t="s">
        <v>91</v>
      </c>
      <c r="B36" s="203"/>
      <c r="C36" s="203"/>
      <c r="D36" s="203"/>
      <c r="E36" s="203"/>
      <c r="F36" s="203"/>
      <c r="G36" s="203"/>
      <c r="H36" s="203">
        <f>SUM(H7,H18,H29)</f>
        <v>21120</v>
      </c>
    </row>
    <row r="37" spans="1:10" s="40" customFormat="1">
      <c r="A37" s="204"/>
      <c r="B37" s="204"/>
      <c r="C37" s="204"/>
      <c r="D37" s="204"/>
      <c r="E37" s="204"/>
      <c r="F37" s="204"/>
      <c r="G37" s="204"/>
      <c r="H37" s="204"/>
    </row>
    <row r="38" spans="1:10" s="40" customFormat="1">
      <c r="A38" s="212" t="s">
        <v>198</v>
      </c>
      <c r="B38" s="212"/>
      <c r="C38" s="212"/>
      <c r="D38" s="212"/>
      <c r="E38" s="212"/>
      <c r="F38" s="212"/>
      <c r="G38" s="212"/>
      <c r="H38" s="212">
        <f>SUM(F39:F44)</f>
        <v>10790</v>
      </c>
      <c r="I38" s="211">
        <f>H29+H7</f>
        <v>11120</v>
      </c>
      <c r="J38" s="211">
        <f>I38-H38</f>
        <v>330</v>
      </c>
    </row>
    <row r="39" spans="1:10">
      <c r="A39" t="s">
        <v>137</v>
      </c>
      <c r="B39">
        <f>B9</f>
        <v>20</v>
      </c>
      <c r="C39" t="str">
        <f>C9</f>
        <v>Day</v>
      </c>
      <c r="D39" s="171">
        <f>'Business plan'!B$14</f>
        <v>180</v>
      </c>
      <c r="E39">
        <f t="shared" ref="E39:E44" si="1">E9</f>
        <v>1</v>
      </c>
      <c r="F39">
        <f>B39*D39*E39</f>
        <v>3600</v>
      </c>
    </row>
    <row r="40" spans="1:10">
      <c r="A40" t="s">
        <v>164</v>
      </c>
      <c r="B40">
        <f t="shared" ref="B40:C44" si="2">B10</f>
        <v>0</v>
      </c>
      <c r="C40" t="str">
        <f t="shared" si="2"/>
        <v>Day</v>
      </c>
      <c r="D40" s="171">
        <f>'Business plan'!C$14</f>
        <v>100</v>
      </c>
      <c r="E40">
        <f t="shared" si="1"/>
        <v>1</v>
      </c>
      <c r="F40">
        <f t="shared" ref="F40:F44" si="3">B40*D40*E40</f>
        <v>0</v>
      </c>
    </row>
    <row r="41" spans="1:10">
      <c r="A41" t="s">
        <v>138</v>
      </c>
      <c r="B41">
        <f t="shared" si="2"/>
        <v>20</v>
      </c>
      <c r="C41" t="str">
        <f t="shared" si="2"/>
        <v>Day</v>
      </c>
      <c r="D41" s="171">
        <f>'Business plan'!D$14</f>
        <v>90</v>
      </c>
      <c r="E41">
        <f t="shared" si="1"/>
        <v>1</v>
      </c>
      <c r="F41">
        <f t="shared" si="3"/>
        <v>1800</v>
      </c>
    </row>
    <row r="42" spans="1:10">
      <c r="A42" t="s">
        <v>139</v>
      </c>
      <c r="B42">
        <f t="shared" si="2"/>
        <v>15</v>
      </c>
      <c r="C42" t="str">
        <f t="shared" si="2"/>
        <v>Day</v>
      </c>
      <c r="D42" s="171">
        <f>'Business plan'!E$14</f>
        <v>70</v>
      </c>
      <c r="E42">
        <f t="shared" si="1"/>
        <v>1</v>
      </c>
      <c r="F42">
        <f t="shared" si="3"/>
        <v>1050</v>
      </c>
    </row>
    <row r="43" spans="1:10">
      <c r="A43" t="s">
        <v>176</v>
      </c>
      <c r="B43">
        <f t="shared" si="2"/>
        <v>3</v>
      </c>
      <c r="C43" t="str">
        <f t="shared" si="2"/>
        <v>Month</v>
      </c>
      <c r="D43" s="171">
        <f>'Business plan'!F$16</f>
        <v>630</v>
      </c>
      <c r="E43">
        <f t="shared" si="1"/>
        <v>2</v>
      </c>
      <c r="F43">
        <f t="shared" si="3"/>
        <v>3780</v>
      </c>
    </row>
    <row r="44" spans="1:10">
      <c r="A44" t="s">
        <v>177</v>
      </c>
      <c r="B44">
        <f t="shared" si="2"/>
        <v>1</v>
      </c>
      <c r="C44" t="str">
        <f t="shared" si="2"/>
        <v>Month</v>
      </c>
      <c r="D44" s="171">
        <f>'Business plan'!H$16</f>
        <v>560</v>
      </c>
      <c r="E44">
        <f t="shared" si="1"/>
        <v>1</v>
      </c>
      <c r="F44">
        <f t="shared" si="3"/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ISC Budget</vt:lpstr>
      <vt:lpstr>Salary costs</vt:lpstr>
      <vt:lpstr>Business plan</vt:lpstr>
      <vt:lpstr>Sheet2</vt:lpstr>
    </vt:vector>
  </TitlesOfParts>
  <Company>GRET-SKY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GRET-SKY</dc:creator>
  <cp:lastModifiedBy>GRET-SKY</cp:lastModifiedBy>
  <dcterms:created xsi:type="dcterms:W3CDTF">2010-12-03T05:57:06Z</dcterms:created>
  <dcterms:modified xsi:type="dcterms:W3CDTF">2011-12-08T03:11:37Z</dcterms:modified>
</cp:coreProperties>
</file>